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F169A132-792C-4F1D-BBE0-BC1E79A96BB7}" xr6:coauthVersionLast="47" xr6:coauthVersionMax="47" xr10:uidLastSave="{00000000-0000-0000-0000-000000000000}"/>
  <bookViews>
    <workbookView xWindow="-110" yWindow="-110" windowWidth="19420" windowHeight="10300" xr2:uid="{DA2E2E26-A990-4F19-94C9-ED445812DB24}"/>
  </bookViews>
  <sheets>
    <sheet name="Sch. 35 Workpaper" sheetId="4" r:id="rId1"/>
    <sheet name="Tab A - True-Up Allocation" sheetId="1" r:id="rId2"/>
    <sheet name="Tab B - Allocated O&amp;M" sheetId="5" r:id="rId3"/>
    <sheet name="Tab C - A&amp;G" sheetId="8" r:id="rId4"/>
    <sheet name="Tab D - Property Tax" sheetId="6" r:id="rId5"/>
    <sheet name="Tab E - Payroll Taxes" sheetId="7" r:id="rId6"/>
  </sheets>
  <definedNames>
    <definedName name="_xlnm.Print_Area" localSheetId="0">'Sch. 35 Workpaper'!$A$1:$I$124</definedName>
    <definedName name="_xlnm.Print_Area" localSheetId="2">'Tab B - Allocated O&amp;M'!$A$1:$M$46</definedName>
    <definedName name="_xlnm.Print_Area" localSheetId="3">'Tab C - A&amp;G'!$A$1:$R$29</definedName>
    <definedName name="_xlnm.Print_Area" localSheetId="4">'Tab D - Property Tax'!$A$1:$K$15</definedName>
    <definedName name="_xlnm.Print_Area" localSheetId="5">'Tab E - Payroll Taxes'!$A$1:$O$21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8" i="4" l="1"/>
  <c r="L17" i="8" l="1"/>
  <c r="K18" i="1" l="1"/>
  <c r="K16" i="1"/>
  <c r="K15" i="1"/>
  <c r="K14" i="1"/>
  <c r="K13" i="1"/>
  <c r="K12" i="1"/>
  <c r="K11" i="1"/>
  <c r="K10" i="1"/>
  <c r="K43" i="1" l="1"/>
  <c r="I37" i="1" l="1"/>
  <c r="I34" i="1"/>
  <c r="I39" i="1" s="1"/>
  <c r="E40" i="1" l="1"/>
  <c r="E38" i="1"/>
  <c r="E36" i="1"/>
  <c r="E35" i="1"/>
  <c r="E34" i="1"/>
  <c r="E33" i="1"/>
  <c r="E32" i="1"/>
  <c r="G7" i="7" l="1"/>
  <c r="G16" i="7"/>
  <c r="E9" i="6"/>
  <c r="E37" i="1"/>
  <c r="L24" i="8" l="1"/>
  <c r="P24" i="8" l="1"/>
  <c r="F24" i="8" l="1"/>
  <c r="B11" i="8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E39" i="1"/>
  <c r="E41" i="1" s="1"/>
  <c r="H20" i="8" l="1"/>
  <c r="H22" i="8"/>
  <c r="H23" i="8"/>
  <c r="H12" i="8"/>
  <c r="H21" i="8"/>
  <c r="H11" i="8"/>
  <c r="H10" i="8"/>
  <c r="H13" i="8"/>
  <c r="H14" i="8"/>
  <c r="H18" i="8"/>
  <c r="H15" i="8"/>
  <c r="H16" i="8"/>
  <c r="H17" i="8"/>
  <c r="H19" i="8"/>
  <c r="H24" i="8" l="1"/>
  <c r="E14" i="7" l="1"/>
  <c r="E18" i="7" s="1"/>
  <c r="G18" i="7" s="1"/>
  <c r="G13" i="7"/>
  <c r="G12" i="7"/>
  <c r="G11" i="7"/>
  <c r="G10" i="7"/>
  <c r="G9" i="7"/>
  <c r="G8" i="7"/>
  <c r="I7" i="7" s="1"/>
  <c r="M7" i="7" s="1"/>
  <c r="E41" i="5"/>
  <c r="G23" i="5"/>
  <c r="G41" i="5" s="1"/>
  <c r="B11" i="5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F101" i="4"/>
  <c r="E101" i="4"/>
  <c r="G100" i="4"/>
  <c r="G99" i="4"/>
  <c r="G98" i="4"/>
  <c r="F90" i="4"/>
  <c r="E90" i="4"/>
  <c r="F76" i="4"/>
  <c r="E76" i="4"/>
  <c r="F69" i="4"/>
  <c r="E69" i="4"/>
  <c r="F48" i="4"/>
  <c r="F107" i="4" s="1"/>
  <c r="E48" i="4"/>
  <c r="G46" i="4"/>
  <c r="G44" i="4"/>
  <c r="G43" i="4"/>
  <c r="G42" i="4"/>
  <c r="G40" i="4"/>
  <c r="G39" i="4"/>
  <c r="G38" i="4"/>
  <c r="G37" i="4"/>
  <c r="G36" i="4"/>
  <c r="G34" i="4"/>
  <c r="G33" i="4"/>
  <c r="G31" i="4"/>
  <c r="G30" i="4"/>
  <c r="G28" i="4"/>
  <c r="G27" i="4"/>
  <c r="G26" i="4"/>
  <c r="G25" i="4"/>
  <c r="G23" i="4"/>
  <c r="G22" i="4"/>
  <c r="G21" i="4"/>
  <c r="G19" i="4"/>
  <c r="G17" i="4"/>
  <c r="A5" i="4"/>
  <c r="A6" i="4" s="1"/>
  <c r="A7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5" i="4" s="1"/>
  <c r="A76" i="4" s="1"/>
  <c r="A83" i="4" s="1"/>
  <c r="A84" i="4" s="1"/>
  <c r="A85" i="4" s="1"/>
  <c r="A86" i="4" s="1"/>
  <c r="A87" i="4" s="1"/>
  <c r="A88" i="4" s="1"/>
  <c r="A89" i="4" s="1"/>
  <c r="A90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G40" i="1"/>
  <c r="G33" i="1"/>
  <c r="K33" i="1" s="1"/>
  <c r="G34" i="1"/>
  <c r="K34" i="1" s="1"/>
  <c r="G35" i="1"/>
  <c r="G36" i="1"/>
  <c r="G37" i="1"/>
  <c r="K37" i="1" s="1"/>
  <c r="G38" i="1"/>
  <c r="I17" i="1"/>
  <c r="I19" i="1" s="1"/>
  <c r="K36" i="1" l="1"/>
  <c r="K7" i="7"/>
  <c r="O7" i="7" s="1"/>
  <c r="G32" i="1"/>
  <c r="K32" i="1" s="1"/>
  <c r="K35" i="1"/>
  <c r="D96" i="4" s="1"/>
  <c r="G96" i="4" s="1"/>
  <c r="K38" i="1"/>
  <c r="D97" i="4" s="1"/>
  <c r="N17" i="8"/>
  <c r="N24" i="8" s="1"/>
  <c r="K40" i="1"/>
  <c r="G9" i="6"/>
  <c r="K9" i="6" s="1"/>
  <c r="J10" i="8"/>
  <c r="J18" i="8"/>
  <c r="R18" i="8" s="1"/>
  <c r="D62" i="4" s="1"/>
  <c r="G62" i="4" s="1"/>
  <c r="J13" i="8"/>
  <c r="R13" i="8" s="1"/>
  <c r="D57" i="4" s="1"/>
  <c r="G57" i="4" s="1"/>
  <c r="J11" i="8"/>
  <c r="R11" i="8" s="1"/>
  <c r="D55" i="4" s="1"/>
  <c r="G55" i="4" s="1"/>
  <c r="J12" i="8"/>
  <c r="R12" i="8" s="1"/>
  <c r="D56" i="4" s="1"/>
  <c r="G56" i="4" s="1"/>
  <c r="J14" i="8"/>
  <c r="R14" i="8" s="1"/>
  <c r="D58" i="4" s="1"/>
  <c r="G58" i="4" s="1"/>
  <c r="J20" i="8"/>
  <c r="R20" i="8" s="1"/>
  <c r="D64" i="4" s="1"/>
  <c r="G64" i="4" s="1"/>
  <c r="J21" i="8"/>
  <c r="R21" i="8" s="1"/>
  <c r="D65" i="4" s="1"/>
  <c r="G65" i="4" s="1"/>
  <c r="J23" i="8"/>
  <c r="R23" i="8" s="1"/>
  <c r="D67" i="4" s="1"/>
  <c r="G67" i="4" s="1"/>
  <c r="J19" i="8"/>
  <c r="R19" i="8" s="1"/>
  <c r="D63" i="4" s="1"/>
  <c r="G63" i="4" s="1"/>
  <c r="J17" i="8"/>
  <c r="J16" i="8"/>
  <c r="R16" i="8" s="1"/>
  <c r="D60" i="4" s="1"/>
  <c r="G60" i="4" s="1"/>
  <c r="J22" i="8"/>
  <c r="R22" i="8" s="1"/>
  <c r="D66" i="4" s="1"/>
  <c r="G66" i="4" s="1"/>
  <c r="J15" i="8"/>
  <c r="I11" i="5"/>
  <c r="K11" i="5" s="1"/>
  <c r="M11" i="5" s="1"/>
  <c r="I23" i="5"/>
  <c r="K23" i="5" s="1"/>
  <c r="M23" i="5" s="1"/>
  <c r="D29" i="4" s="1"/>
  <c r="G29" i="4" s="1"/>
  <c r="I35" i="5"/>
  <c r="K35" i="5" s="1"/>
  <c r="M35" i="5" s="1"/>
  <c r="D41" i="4" s="1"/>
  <c r="G41" i="4" s="1"/>
  <c r="I12" i="5"/>
  <c r="K12" i="5" s="1"/>
  <c r="M12" i="5" s="1"/>
  <c r="D18" i="4" s="1"/>
  <c r="G18" i="4" s="1"/>
  <c r="I24" i="5"/>
  <c r="K24" i="5" s="1"/>
  <c r="M24" i="5" s="1"/>
  <c r="I36" i="5"/>
  <c r="K36" i="5" s="1"/>
  <c r="M36" i="5" s="1"/>
  <c r="I13" i="5"/>
  <c r="K13" i="5" s="1"/>
  <c r="M13" i="5" s="1"/>
  <c r="I25" i="5"/>
  <c r="K25" i="5" s="1"/>
  <c r="M25" i="5" s="1"/>
  <c r="I37" i="5"/>
  <c r="K37" i="5" s="1"/>
  <c r="M37" i="5" s="1"/>
  <c r="I14" i="5"/>
  <c r="K14" i="5" s="1"/>
  <c r="M14" i="5" s="1"/>
  <c r="D20" i="4" s="1"/>
  <c r="G20" i="4" s="1"/>
  <c r="I26" i="5"/>
  <c r="K26" i="5" s="1"/>
  <c r="M26" i="5" s="1"/>
  <c r="I38" i="5"/>
  <c r="K38" i="5" s="1"/>
  <c r="M38" i="5" s="1"/>
  <c r="I15" i="5"/>
  <c r="K15" i="5" s="1"/>
  <c r="M15" i="5" s="1"/>
  <c r="I32" i="5"/>
  <c r="K32" i="5" s="1"/>
  <c r="M32" i="5" s="1"/>
  <c r="I39" i="5"/>
  <c r="K39" i="5" s="1"/>
  <c r="M39" i="5" s="1"/>
  <c r="D45" i="4" s="1"/>
  <c r="G45" i="4" s="1"/>
  <c r="I27" i="5"/>
  <c r="K27" i="5" s="1"/>
  <c r="M27" i="5" s="1"/>
  <c r="I33" i="5"/>
  <c r="K33" i="5" s="1"/>
  <c r="M33" i="5" s="1"/>
  <c r="I22" i="5"/>
  <c r="K22" i="5" s="1"/>
  <c r="M22" i="5" s="1"/>
  <c r="I16" i="5"/>
  <c r="K16" i="5" s="1"/>
  <c r="M16" i="5" s="1"/>
  <c r="I28" i="5"/>
  <c r="K28" i="5" s="1"/>
  <c r="M28" i="5" s="1"/>
  <c r="I10" i="5"/>
  <c r="I17" i="5"/>
  <c r="K17" i="5" s="1"/>
  <c r="M17" i="5" s="1"/>
  <c r="I29" i="5"/>
  <c r="K29" i="5" s="1"/>
  <c r="M29" i="5" s="1"/>
  <c r="D35" i="4" s="1"/>
  <c r="G35" i="4" s="1"/>
  <c r="I18" i="5"/>
  <c r="K18" i="5" s="1"/>
  <c r="M18" i="5" s="1"/>
  <c r="D24" i="4" s="1"/>
  <c r="G24" i="4" s="1"/>
  <c r="I30" i="5"/>
  <c r="K30" i="5" s="1"/>
  <c r="M30" i="5" s="1"/>
  <c r="I19" i="5"/>
  <c r="K19" i="5" s="1"/>
  <c r="M19" i="5" s="1"/>
  <c r="I31" i="5"/>
  <c r="K31" i="5" s="1"/>
  <c r="M31" i="5" s="1"/>
  <c r="I20" i="5"/>
  <c r="K20" i="5" s="1"/>
  <c r="M20" i="5" s="1"/>
  <c r="I21" i="5"/>
  <c r="K21" i="5" s="1"/>
  <c r="M21" i="5" s="1"/>
  <c r="I34" i="5"/>
  <c r="K34" i="5" s="1"/>
  <c r="M34" i="5" s="1"/>
  <c r="K17" i="1"/>
  <c r="K19" i="1" s="1"/>
  <c r="K22" i="1" s="1"/>
  <c r="I8" i="7"/>
  <c r="M8" i="7" s="1"/>
  <c r="I11" i="7"/>
  <c r="M11" i="7" s="1"/>
  <c r="G14" i="7"/>
  <c r="I13" i="7"/>
  <c r="I10" i="7"/>
  <c r="I9" i="7"/>
  <c r="E107" i="4"/>
  <c r="I12" i="7"/>
  <c r="G39" i="1" l="1"/>
  <c r="G41" i="1" s="1"/>
  <c r="R17" i="8"/>
  <c r="D61" i="4" s="1"/>
  <c r="G61" i="4" s="1"/>
  <c r="R15" i="8"/>
  <c r="D59" i="4" s="1"/>
  <c r="G59" i="4" s="1"/>
  <c r="G97" i="4"/>
  <c r="D101" i="4"/>
  <c r="G101" i="4" s="1"/>
  <c r="J24" i="8"/>
  <c r="R10" i="8"/>
  <c r="K39" i="1"/>
  <c r="D32" i="4"/>
  <c r="D75" i="4"/>
  <c r="M12" i="7"/>
  <c r="K12" i="7"/>
  <c r="O12" i="7" s="1"/>
  <c r="D88" i="4" s="1"/>
  <c r="G88" i="4" s="1"/>
  <c r="M10" i="7"/>
  <c r="K10" i="7"/>
  <c r="M13" i="7"/>
  <c r="K13" i="7"/>
  <c r="K11" i="7"/>
  <c r="M9" i="7"/>
  <c r="K9" i="7"/>
  <c r="K8" i="7"/>
  <c r="I41" i="5"/>
  <c r="K10" i="5"/>
  <c r="M10" i="5" s="1"/>
  <c r="D16" i="4" s="1"/>
  <c r="I14" i="7"/>
  <c r="M14" i="7" s="1"/>
  <c r="E17" i="1"/>
  <c r="E19" i="1" s="1"/>
  <c r="G17" i="1"/>
  <c r="G19" i="1" s="1"/>
  <c r="K41" i="1" l="1"/>
  <c r="K44" i="1" s="1"/>
  <c r="O11" i="7"/>
  <c r="D87" i="4" s="1"/>
  <c r="G87" i="4" s="1"/>
  <c r="O10" i="7"/>
  <c r="D86" i="4" s="1"/>
  <c r="G86" i="4" s="1"/>
  <c r="K41" i="5"/>
  <c r="M41" i="5"/>
  <c r="G75" i="4"/>
  <c r="D76" i="4"/>
  <c r="G32" i="4"/>
  <c r="D54" i="4"/>
  <c r="R24" i="8"/>
  <c r="S24" i="8" s="1"/>
  <c r="O13" i="7"/>
  <c r="D89" i="4" s="1"/>
  <c r="G89" i="4" s="1"/>
  <c r="O9" i="7"/>
  <c r="D85" i="4" s="1"/>
  <c r="G85" i="4" s="1"/>
  <c r="O8" i="7"/>
  <c r="D83" i="4"/>
  <c r="K14" i="7"/>
  <c r="D48" i="4"/>
  <c r="G16" i="4"/>
  <c r="D84" i="4" l="1"/>
  <c r="G84" i="4" s="1"/>
  <c r="O14" i="7"/>
  <c r="G54" i="4"/>
  <c r="D69" i="4"/>
  <c r="G76" i="4"/>
  <c r="G83" i="4"/>
  <c r="G48" i="4"/>
  <c r="D90" i="4" l="1"/>
  <c r="D107" i="4"/>
  <c r="D112" i="4" s="1"/>
  <c r="G69" i="4"/>
  <c r="G90" i="4"/>
</calcChain>
</file>

<file path=xl/sharedStrings.xml><?xml version="1.0" encoding="utf-8"?>
<sst xmlns="http://schemas.openxmlformats.org/spreadsheetml/2006/main" count="491" uniqueCount="266">
  <si>
    <t>Source</t>
  </si>
  <si>
    <t>Prior Year</t>
  </si>
  <si>
    <t>Line</t>
  </si>
  <si>
    <t>Expense Component</t>
  </si>
  <si>
    <t>Direct O&amp;M</t>
  </si>
  <si>
    <t>Allocated O&amp;M</t>
  </si>
  <si>
    <t>Administrative and General</t>
  </si>
  <si>
    <t>G + I</t>
  </si>
  <si>
    <t>Payroll Taxes</t>
  </si>
  <si>
    <t>Property Taxes</t>
  </si>
  <si>
    <t>Cash Working Capital</t>
  </si>
  <si>
    <t>Subtotal:</t>
  </si>
  <si>
    <t xml:space="preserve">Franchise Fees: </t>
  </si>
  <si>
    <t>Prior Year Cost:</t>
  </si>
  <si>
    <t>2024 WOD Formula Rate, Attachment 1, Schedule 1, Lines 1-10, Column C2</t>
  </si>
  <si>
    <t>Col 1</t>
  </si>
  <si>
    <t>Col 2</t>
  </si>
  <si>
    <t>Col 3</t>
  </si>
  <si>
    <t>Col 4</t>
  </si>
  <si>
    <t>Notes:</t>
  </si>
  <si>
    <t>1)</t>
  </si>
  <si>
    <t>Note 1</t>
  </si>
  <si>
    <t>Note 2</t>
  </si>
  <si>
    <t>Note 3</t>
  </si>
  <si>
    <t>2022 WOD Formula Rate, Attachment 1, Schedule 1, Lines 1-10, Column C2</t>
  </si>
  <si>
    <t>2)</t>
  </si>
  <si>
    <t>Col 5</t>
  </si>
  <si>
    <t>3)</t>
  </si>
  <si>
    <t>4)</t>
  </si>
  <si>
    <t>Other Formula Revenue -- Revenue Received Pursuant to Commission-Approved O&amp;M Services Formulas</t>
  </si>
  <si>
    <t>Cells shaded yellow are input cells</t>
  </si>
  <si>
    <t>Current SCE O&amp;M Services Formulas</t>
  </si>
  <si>
    <t xml:space="preserve">(1) </t>
  </si>
  <si>
    <t>ER21-1280 ("West of Devers Formula Rate")</t>
  </si>
  <si>
    <t xml:space="preserve">(2) </t>
  </si>
  <si>
    <t xml:space="preserve">(3) </t>
  </si>
  <si>
    <t>Revenues and Associated Native Accounts (Including O&amp;M, A&amp;G, Property Taxes, Payroll Taxes, and Revenue Credits)</t>
  </si>
  <si>
    <t>Formula #1</t>
  </si>
  <si>
    <t>Formula #2</t>
  </si>
  <si>
    <t>Formula #3</t>
  </si>
  <si>
    <t>Total All</t>
  </si>
  <si>
    <t>1) Operations and Maintenance ("O&amp;M") Revenue</t>
  </si>
  <si>
    <t>Revenue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</si>
  <si>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</si>
  <si>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</si>
  <si>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</si>
  <si>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</si>
  <si>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561.500 Reliability Planning and Standards Development</t>
  </si>
  <si>
    <t>562 - Station Expenses - Allocated</t>
  </si>
  <si>
    <t>562 - MOGS Station Expense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</si>
  <si>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</si>
  <si>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</si>
  <si>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</si>
  <si>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</si>
  <si>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</si>
  <si>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</si>
  <si>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>566 - Miscellaneous Transmission Expenses - Allocated</t>
  </si>
  <si>
    <t>566 - ISO/RSBA/TSP Balancing Accounts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</si>
  <si>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</si>
  <si>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</si>
  <si>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</si>
  <si>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</si>
  <si>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</si>
  <si>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</si>
  <si>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</si>
  <si>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</si>
  <si>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</si>
  <si>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</si>
  <si>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</si>
  <si>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</si>
  <si>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</si>
  <si>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</si>
  <si>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</si>
  <si>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Transmission NOIC</t>
  </si>
  <si>
    <t>…</t>
  </si>
  <si>
    <t>Total O&amp;M Services Formula "O&amp;M" Revenue:</t>
  </si>
  <si>
    <t>2) Administrative and General ("A&amp;G") Revenue</t>
  </si>
  <si>
    <t>920 - A&amp;G Salaries</t>
  </si>
  <si>
    <t>921 - Office Supplies and Expenses</t>
  </si>
  <si>
    <t>922 - A&amp;G Expenses Transferred</t>
  </si>
  <si>
    <t>923 - Outside Services Employed</t>
  </si>
  <si>
    <t>924 - Property Insurance</t>
  </si>
  <si>
    <t>925 - Injuries and Damages</t>
  </si>
  <si>
    <t>926 - Employee Pensions and Benefits</t>
  </si>
  <si>
    <t>927 - Franchise Requirements</t>
  </si>
  <si>
    <t>928 - Regulatory Commission Expenses</t>
  </si>
  <si>
    <t>929 - Duplicate Charges</t>
  </si>
  <si>
    <t>930.1 - General Advertising Expense</t>
  </si>
  <si>
    <t>930.2 - Miscellaneous General Expense</t>
  </si>
  <si>
    <t>931 - Rents</t>
  </si>
  <si>
    <t>935 - Maintenance of General Plant</t>
  </si>
  <si>
    <t>Total O&amp;M Services Formula "A&amp;G" Revenue:</t>
  </si>
  <si>
    <t>3) Property Taxes (Local Taxes)</t>
  </si>
  <si>
    <t>Sub-Total Local Taxes</t>
  </si>
  <si>
    <t>Total O&amp;M Services Formula "Property Tax" Revenue:</t>
  </si>
  <si>
    <t>4) Payroll Taxes</t>
  </si>
  <si>
    <t>Fed Ins Cont Amt -- Current</t>
  </si>
  <si>
    <t>FICA/OASDI Emp Incntv.</t>
  </si>
  <si>
    <t>FICA/HIT Emp Incntv.</t>
  </si>
  <si>
    <t>CA SUI Current</t>
  </si>
  <si>
    <t>Fed Unemp Tax Act- Current</t>
  </si>
  <si>
    <t>CADI Vol Plan Assess</t>
  </si>
  <si>
    <t>SF Pyrl Exp Tx - SCE</t>
  </si>
  <si>
    <t>Total O&amp;M Services Formula "Payroll Tax" Revenue:</t>
  </si>
  <si>
    <t>5) Revenue Credits</t>
  </si>
  <si>
    <t>General and Intangible</t>
  </si>
  <si>
    <t>True Up Adjustment (not included in native accounts)</t>
  </si>
  <si>
    <t>Cost Adjustment (not included in native accounts)</t>
  </si>
  <si>
    <t>Total O&amp;M Services Formula "Revenue Credit" Revenue:</t>
  </si>
  <si>
    <t>Total O&amp;M Services Formula Revenues (Each Formula):</t>
  </si>
  <si>
    <t>Reference</t>
  </si>
  <si>
    <t>Total all O&amp;M Services Formula Revenues (all Formulas):</t>
  </si>
  <si>
    <t>Sum of Amounts on Line 75</t>
  </si>
  <si>
    <t>Instructions:</t>
  </si>
  <si>
    <t>1) Do not populate this Schedule 35 with respect to WOD Formula Rate Revenues (pursuant to ER21-1280) for any Prior Year for which the</t>
  </si>
  <si>
    <t>Accounting Waiver granted by the Commission in that Docket was in effect.</t>
  </si>
  <si>
    <t>1) The amount of O&amp;M Services Formula revenue shown above is included in SCE's Annual FERC Form 1 as a credit</t>
  </si>
  <si>
    <t>to each respective native account.</t>
  </si>
  <si>
    <t xml:space="preserve">2) In each Annual Update of this Formula Rate, the amounts of revenue credited to SCE's FERC Form 1 expenses (as described </t>
  </si>
  <si>
    <t>in Note 1) will be reversed in determining of input amounts to this Formula Rate.</t>
  </si>
  <si>
    <t xml:space="preserve">3) The total amount of revenue from the above five expense categories will be 100% credited against the Base TRR and </t>
  </si>
  <si>
    <t>the True Up TRR.  See Schedule 1, Line 84a, and Schedule 4, Line 45a.</t>
  </si>
  <si>
    <t>Allocated Operations and Maintenance Expenses</t>
  </si>
  <si>
    <t>(C1)</t>
  </si>
  <si>
    <t>(C2)</t>
  </si>
  <si>
    <t>(C3)</t>
  </si>
  <si>
    <t>(C4)</t>
  </si>
  <si>
    <t>= C1 Line 31</t>
  </si>
  <si>
    <t>Allocated</t>
  </si>
  <si>
    <t>Morongo</t>
  </si>
  <si>
    <t>Transmission</t>
  </si>
  <si>
    <t>Total</t>
  </si>
  <si>
    <t>Transmission Accounts</t>
  </si>
  <si>
    <t>O&amp;M</t>
  </si>
  <si>
    <t>NOIC</t>
  </si>
  <si>
    <t>Adjustment</t>
  </si>
  <si>
    <t>Totals:</t>
  </si>
  <si>
    <t>Item</t>
  </si>
  <si>
    <t>(C5)</t>
  </si>
  <si>
    <t>= C1 *WOD Labor AF</t>
  </si>
  <si>
    <t>=  C2 Line # / sum ( C2 Lines 1-7)</t>
  </si>
  <si>
    <t>=Line 9 Col. C2 * C3</t>
  </si>
  <si>
    <t>Percentage Allocation of</t>
  </si>
  <si>
    <t>Allocation of Morongo</t>
  </si>
  <si>
    <t>Source or instruction</t>
  </si>
  <si>
    <t>Amount</t>
  </si>
  <si>
    <t>Payroll Costs</t>
  </si>
  <si>
    <t>Capitalized Overhead</t>
  </si>
  <si>
    <t>Total Electric Payroll Tax Expense</t>
  </si>
  <si>
    <t>Sum</t>
  </si>
  <si>
    <t>Capitalized Overhead portion of Electric Payroll Tax Expense</t>
  </si>
  <si>
    <t>Remaining Electric Payroll Tax Expense to Allocate</t>
  </si>
  <si>
    <t>Line 8 - Line 9</t>
  </si>
  <si>
    <t>Morongo WOD Labor AF</t>
  </si>
  <si>
    <t>= ( C1 + C2 Line #) / 
sum (C1 Lines 1-31)</t>
  </si>
  <si>
    <t>Allocation of  True-up</t>
  </si>
  <si>
    <t>Tab B - Allocated O&amp;M, Line 1, Column C5</t>
  </si>
  <si>
    <t>Tab B - Allocated O&amp;M, Line 3, Column C5</t>
  </si>
  <si>
    <t>Tab B - Allocated O&amp;M, Line 5, Column C5</t>
  </si>
  <si>
    <t>Tab B - Allocated O&amp;M, Line 9, Column C5</t>
  </si>
  <si>
    <t>Tab B - Allocated O&amp;M, Line 14, Column C5</t>
  </si>
  <si>
    <t>Tab B - Allocated O&amp;M, Line 20, Column C5</t>
  </si>
  <si>
    <t>Tab B - Allocated O&amp;M, Line 26, Column C5</t>
  </si>
  <si>
    <t>Tab B - Allocated O&amp;M, Line 30, Column C5</t>
  </si>
  <si>
    <t>= C3 * Tab A, Line 12, Col 3</t>
  </si>
  <si>
    <t>check</t>
  </si>
  <si>
    <t>A&amp;G</t>
  </si>
  <si>
    <t>Account</t>
  </si>
  <si>
    <t>Description</t>
  </si>
  <si>
    <t>A&amp;G Salaries</t>
  </si>
  <si>
    <t>Office Supplies and Expenses</t>
  </si>
  <si>
    <t>A&amp;G Expenses Transferred</t>
  </si>
  <si>
    <t>Outside Services Employed</t>
  </si>
  <si>
    <t>Property Insurance</t>
  </si>
  <si>
    <t>Injuries and Damages</t>
  </si>
  <si>
    <t>Employee Pensions and Benefits</t>
  </si>
  <si>
    <t>Franchise Requirements</t>
  </si>
  <si>
    <t>Regulatory Commission Expenses</t>
  </si>
  <si>
    <t>Duplicate Charges</t>
  </si>
  <si>
    <t>General Advertising Expense</t>
  </si>
  <si>
    <t>Miscellaneous General Expense</t>
  </si>
  <si>
    <t>Rents</t>
  </si>
  <si>
    <t>Maintenance of General Plant</t>
  </si>
  <si>
    <t>= C1 + C2 + C4</t>
  </si>
  <si>
    <t>1) "Morongo O&amp;M";  From 2024 West of Devers Formula Rate Annual Update, Attachment 1, Schedule 4, Lines 1 -32, Column C7.</t>
  </si>
  <si>
    <t>1) "Morongo A&amp;G";  From 2024 West of Devers Formula Rate Annual Update, Attachment 1, Schedule 5, Lines 1 -14, Column C5.</t>
  </si>
  <si>
    <t>= C1 Line # / 
sum (C1 Lines 1-31)</t>
  </si>
  <si>
    <t>= C2 * Tab A, Line 13, Col 3</t>
  </si>
  <si>
    <t>in Prior Year Not expected</t>
  </si>
  <si>
    <t>in Rate Year</t>
  </si>
  <si>
    <t xml:space="preserve">Cost Adjustment </t>
  </si>
  <si>
    <t>Allocated Administrative and General Expense</t>
  </si>
  <si>
    <t>Property Tax</t>
  </si>
  <si>
    <t>2024 WOD Formula Rate, Attachment 1,Schedule 1, Line 6 , Column C2</t>
  </si>
  <si>
    <t>2024 WOD Formula Rate, Attachment 3, WP-Cost Adjustment Item #2</t>
  </si>
  <si>
    <t>Tab A - True-up Allocation, Line 16, Col 3</t>
  </si>
  <si>
    <t>2024 WOD Formula Rate, Attachment 1, Schedule 9, Item 5 , Line 49</t>
  </si>
  <si>
    <t>TO2024 SCE Formula Transmission Rate, Schedule 1, Line 24</t>
  </si>
  <si>
    <t>TO2024 SCE Formula Transmission Rate, Schedule 1, Line 25</t>
  </si>
  <si>
    <t>TO2024 SCE Formula Transmission Rate, Schedule 1, Line 26</t>
  </si>
  <si>
    <t>TO2024 SCE Formula Transmission Rate, Schedule 1, Line 27</t>
  </si>
  <si>
    <t>TO2024 SCE Formula Transmission Rate, Schedule 1, Line 28</t>
  </si>
  <si>
    <t>TO2024 SCE Formula Transmission Rate, Schedule 1, Line 29</t>
  </si>
  <si>
    <t>TO2024 SCE Formula Transmission Rate, Schedule 1, Line 30</t>
  </si>
  <si>
    <t>TO2024 SCE Formula Transmission Rate, Schedule 1, Line 32</t>
  </si>
  <si>
    <t>(C6)</t>
  </si>
  <si>
    <t>= C3 * Tab A, Line 15, Col 3</t>
  </si>
  <si>
    <t xml:space="preserve"> = C2 + C4 - C5</t>
  </si>
  <si>
    <t>Tab E - Payroll Taxes, Line 1, Column C6</t>
  </si>
  <si>
    <t>Tab E - Payroll Taxes, Line 2, Column C6</t>
  </si>
  <si>
    <t>Tab E - Payroll Taxes, Line 3, Column C6</t>
  </si>
  <si>
    <t>Tab E - Payroll Taxes, Line 4, Column C6</t>
  </si>
  <si>
    <t>Tab E - Payroll Taxes, Line 5, Column C6</t>
  </si>
  <si>
    <t>Tab E - Payroll Taxes, Line 6, Column C6</t>
  </si>
  <si>
    <t>Tab E - Payroll Taxes, Line 7, Column C6</t>
  </si>
  <si>
    <t>Adjustment for Franchise Fees</t>
  </si>
  <si>
    <t>3) "Cost Adjustment - Expense in Prior Year Not expected in Rate Year"; From 2024 WOD Formula Rate, Attachment 3, WP-Cost Adjustment, Item #1</t>
  </si>
  <si>
    <t>Franchise Fees</t>
  </si>
  <si>
    <t>2) " Morongo Franchise Fees";  From 2024 West of Devers Formula Rate Annual Update, Attachment 1, Schedule 1, Line 9, Column C2.</t>
  </si>
  <si>
    <t xml:space="preserve"> = Tab A, Line 19, Col 3</t>
  </si>
  <si>
    <t>(C7)</t>
  </si>
  <si>
    <t>= C1 + C3 + C4 + C5 + C6</t>
  </si>
  <si>
    <t>5)</t>
  </si>
  <si>
    <t>Note 5</t>
  </si>
  <si>
    <t>Shortfall/Excess</t>
  </si>
  <si>
    <t>Billed</t>
  </si>
  <si>
    <t>Billed- Cost Adj.</t>
  </si>
  <si>
    <t>True-up</t>
  </si>
  <si>
    <t>= C1 + C2 + C3</t>
  </si>
  <si>
    <t>Tab D - Property Tax, Line 1, Column C4</t>
  </si>
  <si>
    <t>Allocation of True-Up Adjustment Included in 2024 WOD Formula Rate</t>
  </si>
  <si>
    <t>Prior Year Cost</t>
  </si>
  <si>
    <t>10a</t>
  </si>
  <si>
    <t>10b</t>
  </si>
  <si>
    <t>Tab A - True-Up Allocation, Line 10a, Column C5</t>
  </si>
  <si>
    <t>2024 WOD Formula Rate, Attachment 1, Schedule 2, Line 27 (must tie to line 10b above)</t>
  </si>
  <si>
    <t>20a</t>
  </si>
  <si>
    <t>20b</t>
  </si>
  <si>
    <t>2024 WOD Formula Rate, Attachment 1, Schedule 1, Line 13, Column 2  (must tie to line 20b above)</t>
  </si>
  <si>
    <t>= C2 + C3 + C4</t>
  </si>
  <si>
    <t>2024 WOD Formula Rate, Attachment 3, WP-Cost Adjustment, Item #1 and Item #2</t>
  </si>
  <si>
    <t>Tab A - True-Up Allocation, Line 11, Column C5</t>
  </si>
  <si>
    <t>Tab A - True-Up Allocation, Line 14, Column C5</t>
  </si>
  <si>
    <t>Tab A - True-Up Allocation, Line 17, Column C5</t>
  </si>
  <si>
    <t>Cost Adjustment</t>
  </si>
  <si>
    <t>2) Allocation of Total 2024 Revenue Collected</t>
  </si>
  <si>
    <t>See Col 5 above</t>
  </si>
  <si>
    <t>1) Allocation of Morongo RY2024 True Up Adjustment (Shortfall/Excess)</t>
  </si>
  <si>
    <t>2024 WOD Formula Rate, Attachment 1, Schedule 2, Lines 13-24, Column C8</t>
  </si>
  <si>
    <t>Interest on Shortfall/Excess (Note 4)</t>
  </si>
  <si>
    <t>=C2 - C3 - C4</t>
  </si>
  <si>
    <t>Tab C - A&amp;G, Line 1, Column C7</t>
  </si>
  <si>
    <t>Tab C - A&amp;G, Line 2, Column C7</t>
  </si>
  <si>
    <t>Tab C - A&amp;G, Line 3, Column C7</t>
  </si>
  <si>
    <t>Tab C - A&amp;G, Line 4, Column C7</t>
  </si>
  <si>
    <t>Tab C - A&amp;G, Line 5, Column C7</t>
  </si>
  <si>
    <t>Tab C - A&amp;G, Line 6, Column C7</t>
  </si>
  <si>
    <t>Tab C - A&amp;G, Line 7, Column C7</t>
  </si>
  <si>
    <t>Tab C - A&amp;G, Line 8, Column C7</t>
  </si>
  <si>
    <t>Tab C - A&amp;G, Line 9, Column C7</t>
  </si>
  <si>
    <t>Tab C - A&amp;G, Line 10, Column C7</t>
  </si>
  <si>
    <t>Tab C - A&amp;G, Line 11, Column C7</t>
  </si>
  <si>
    <t>Tab C - A&amp;G, Line 12, Column C7</t>
  </si>
  <si>
    <t>Tab C - A&amp;G, Line 13, Column C7</t>
  </si>
  <si>
    <t>Tab C - A&amp;G, Line 14, Column C7</t>
  </si>
  <si>
    <t>2022 WOD Formula Rate, Attachment 3, WP-Cost Adjustment, Item #1, #2, and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</si>
</sst>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  <numFmt numFmtId="168" formatCode="&quot;$&quot;#,##0.00"/>
    <numFmt numFmtId="169" formatCode="0.00000%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z val="10"/>
      <color rgb="FF00B050"/>
      <name val="Arial"/>
      <family val="2"/>
    </font>
    <font>
      <sz val="11"/>
      <name val="Aptos Narrow"/>
      <family val="2"/>
      <scheme val="minor"/>
    </font>
    <font>
      <b/>
      <sz val="10"/>
      <color rgb="FFFF0000"/>
      <name val="Arial"/>
      <family val="2"/>
    </font>
    <font>
      <sz val="10"/>
      <color rgb="FF7030A0"/>
      <name val="Arial"/>
      <family val="2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</cellStyleXfs>
  <cellXfs count="138">
    <xf numFmtId="0" fontId="0" fillId="0" borderId="0" xfId="0"/>
    <xf numFmtId="164" fontId="2" fillId="0" borderId="0" xfId="0" applyNumberFormat="1" applyFont="1"/>
    <xf numFmtId="165" fontId="0" fillId="0" borderId="0" xfId="1" applyNumberFormat="1" applyFont="1"/>
    <xf numFmtId="165" fontId="0" fillId="2" borderId="0" xfId="1" applyNumberFormat="1" applyFont="1" applyFill="1"/>
    <xf numFmtId="165" fontId="0" fillId="0" borderId="0" xfId="0" applyNumberFormat="1"/>
    <xf numFmtId="165" fontId="0" fillId="2" borderId="1" xfId="1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5" fontId="0" fillId="0" borderId="1" xfId="1" applyNumberFormat="1" applyFont="1" applyBorder="1"/>
    <xf numFmtId="165" fontId="0" fillId="0" borderId="0" xfId="1" applyNumberFormat="1" applyFont="1" applyBorder="1"/>
    <xf numFmtId="0" fontId="3" fillId="0" borderId="0" xfId="4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165" fontId="0" fillId="2" borderId="0" xfId="1" applyNumberFormat="1" applyFont="1" applyFill="1" applyBorder="1"/>
    <xf numFmtId="165" fontId="0" fillId="0" borderId="0" xfId="1" applyNumberFormat="1" applyFont="1" applyFill="1" applyBorder="1"/>
    <xf numFmtId="165" fontId="0" fillId="0" borderId="0" xfId="1" applyNumberFormat="1" applyFont="1" applyFill="1"/>
    <xf numFmtId="0" fontId="0" fillId="2" borderId="0" xfId="0" applyFill="1"/>
    <xf numFmtId="0" fontId="4" fillId="0" borderId="0" xfId="0" applyFont="1"/>
    <xf numFmtId="165" fontId="0" fillId="0" borderId="1" xfId="1" applyNumberFormat="1" applyFont="1" applyFill="1" applyBorder="1"/>
    <xf numFmtId="0" fontId="4" fillId="0" borderId="0" xfId="4" applyFont="1"/>
    <xf numFmtId="0" fontId="2" fillId="0" borderId="0" xfId="4"/>
    <xf numFmtId="0" fontId="2" fillId="2" borderId="0" xfId="4" applyFill="1"/>
    <xf numFmtId="0" fontId="4" fillId="0" borderId="0" xfId="4" applyFont="1" applyAlignment="1">
      <alignment horizontal="center"/>
    </xf>
    <xf numFmtId="0" fontId="3" fillId="0" borderId="0" xfId="5" applyFont="1" applyAlignment="1">
      <alignment horizontal="left"/>
    </xf>
    <xf numFmtId="0" fontId="2" fillId="0" borderId="0" xfId="5" applyAlignment="1">
      <alignment horizontal="right"/>
    </xf>
    <xf numFmtId="0" fontId="2" fillId="0" borderId="0" xfId="5"/>
    <xf numFmtId="0" fontId="5" fillId="0" borderId="0" xfId="5" applyFont="1"/>
    <xf numFmtId="0" fontId="4" fillId="0" borderId="0" xfId="4" quotePrefix="1" applyFont="1" applyAlignment="1">
      <alignment horizontal="center"/>
    </xf>
    <xf numFmtId="0" fontId="2" fillId="2" borderId="0" xfId="5" applyFill="1" applyAlignment="1">
      <alignment horizontal="left" indent="1"/>
    </xf>
    <xf numFmtId="0" fontId="2" fillId="2" borderId="0" xfId="5" applyFill="1"/>
    <xf numFmtId="164" fontId="2" fillId="2" borderId="0" xfId="5" applyNumberFormat="1" applyFill="1"/>
    <xf numFmtId="165" fontId="2" fillId="0" borderId="0" xfId="6" applyNumberFormat="1" applyFont="1"/>
    <xf numFmtId="0" fontId="4" fillId="0" borderId="0" xfId="4" applyFont="1" applyAlignment="1">
      <alignment horizontal="left"/>
    </xf>
    <xf numFmtId="0" fontId="5" fillId="0" borderId="0" xfId="5" applyFont="1" applyAlignment="1">
      <alignment horizontal="center"/>
    </xf>
    <xf numFmtId="165" fontId="5" fillId="0" borderId="0" xfId="6" applyNumberFormat="1" applyFont="1" applyFill="1" applyAlignment="1">
      <alignment horizontal="center"/>
    </xf>
    <xf numFmtId="0" fontId="3" fillId="0" borderId="0" xfId="4" quotePrefix="1" applyFont="1" applyAlignment="1">
      <alignment horizontal="center"/>
    </xf>
    <xf numFmtId="0" fontId="4" fillId="0" borderId="0" xfId="5" applyFont="1" applyAlignment="1">
      <alignment horizontal="center"/>
    </xf>
    <xf numFmtId="165" fontId="2" fillId="0" borderId="0" xfId="6" applyNumberFormat="1" applyFont="1" applyFill="1"/>
    <xf numFmtId="165" fontId="4" fillId="0" borderId="0" xfId="6" applyNumberFormat="1" applyFont="1" applyFill="1"/>
    <xf numFmtId="0" fontId="3" fillId="0" borderId="0" xfId="4" applyFont="1" applyAlignment="1">
      <alignment horizontal="left" indent="1"/>
    </xf>
    <xf numFmtId="0" fontId="3" fillId="0" borderId="0" xfId="5" applyFont="1" applyAlignment="1">
      <alignment horizontal="center"/>
    </xf>
    <xf numFmtId="165" fontId="4" fillId="0" borderId="1" xfId="6" applyNumberFormat="1" applyFont="1" applyFill="1" applyBorder="1"/>
    <xf numFmtId="0" fontId="2" fillId="0" borderId="0" xfId="4" quotePrefix="1"/>
    <xf numFmtId="164" fontId="2" fillId="0" borderId="0" xfId="5" applyNumberFormat="1" applyAlignment="1">
      <alignment horizontal="right"/>
    </xf>
    <xf numFmtId="164" fontId="2" fillId="0" borderId="0" xfId="4" applyNumberFormat="1"/>
    <xf numFmtId="164" fontId="2" fillId="2" borderId="0" xfId="4" applyNumberFormat="1" applyFill="1"/>
    <xf numFmtId="164" fontId="6" fillId="0" borderId="0" xfId="4" applyNumberFormat="1" applyFont="1"/>
    <xf numFmtId="164" fontId="2" fillId="0" borderId="0" xfId="5" applyNumberFormat="1"/>
    <xf numFmtId="0" fontId="2" fillId="2" borderId="0" xfId="4" quotePrefix="1" applyFill="1"/>
    <xf numFmtId="164" fontId="7" fillId="2" borderId="1" xfId="4" applyNumberFormat="1" applyFont="1" applyFill="1" applyBorder="1"/>
    <xf numFmtId="0" fontId="2" fillId="2" borderId="1" xfId="4" applyFill="1" applyBorder="1"/>
    <xf numFmtId="164" fontId="2" fillId="0" borderId="1" xfId="5" applyNumberFormat="1" applyBorder="1" applyAlignment="1">
      <alignment horizontal="right"/>
    </xf>
    <xf numFmtId="164" fontId="8" fillId="0" borderId="0" xfId="4" applyNumberFormat="1" applyFont="1"/>
    <xf numFmtId="0" fontId="2" fillId="0" borderId="0" xfId="4" applyAlignment="1">
      <alignment horizontal="right"/>
    </xf>
    <xf numFmtId="0" fontId="7" fillId="0" borderId="0" xfId="5" applyFont="1"/>
    <xf numFmtId="0" fontId="7" fillId="0" borderId="0" xfId="5" applyFont="1" applyAlignment="1">
      <alignment horizontal="left" indent="1"/>
    </xf>
    <xf numFmtId="164" fontId="7" fillId="0" borderId="1" xfId="5" applyNumberFormat="1" applyFont="1" applyBorder="1" applyAlignment="1">
      <alignment horizontal="right"/>
    </xf>
    <xf numFmtId="164" fontId="7" fillId="2" borderId="0" xfId="4" applyNumberFormat="1" applyFont="1" applyFill="1"/>
    <xf numFmtId="164" fontId="7" fillId="0" borderId="0" xfId="5" applyNumberFormat="1" applyFont="1" applyAlignment="1">
      <alignment horizontal="right"/>
    </xf>
    <xf numFmtId="0" fontId="2" fillId="0" borderId="0" xfId="4" applyAlignment="1">
      <alignment horizontal="left"/>
    </xf>
    <xf numFmtId="0" fontId="2" fillId="0" borderId="0" xfId="4" applyAlignment="1">
      <alignment horizontal="left" indent="2"/>
    </xf>
    <xf numFmtId="0" fontId="2" fillId="0" borderId="0" xfId="4" applyAlignment="1">
      <alignment horizontal="left" indent="1"/>
    </xf>
    <xf numFmtId="0" fontId="9" fillId="0" borderId="0" xfId="4" applyFont="1"/>
    <xf numFmtId="164" fontId="2" fillId="2" borderId="1" xfId="4" applyNumberFormat="1" applyFill="1" applyBorder="1"/>
    <xf numFmtId="0" fontId="3" fillId="0" borderId="0" xfId="4" applyFont="1"/>
    <xf numFmtId="0" fontId="10" fillId="0" borderId="0" xfId="4" applyFont="1" applyAlignment="1">
      <alignment horizontal="left" indent="1"/>
    </xf>
    <xf numFmtId="0" fontId="10" fillId="0" borderId="0" xfId="4" applyFont="1"/>
    <xf numFmtId="0" fontId="11" fillId="0" borderId="0" xfId="4" applyFont="1" applyAlignment="1">
      <alignment horizontal="center"/>
    </xf>
    <xf numFmtId="0" fontId="6" fillId="0" borderId="0" xfId="4" applyFont="1" applyAlignment="1">
      <alignment horizontal="left" indent="2"/>
    </xf>
    <xf numFmtId="0" fontId="6" fillId="0" borderId="0" xfId="4" applyFont="1"/>
    <xf numFmtId="0" fontId="5" fillId="0" borderId="0" xfId="4" applyFont="1"/>
    <xf numFmtId="0" fontId="6" fillId="0" borderId="0" xfId="4" applyFont="1" applyAlignment="1">
      <alignment horizontal="left" indent="3"/>
    </xf>
    <xf numFmtId="0" fontId="4" fillId="0" borderId="0" xfId="5" applyFont="1"/>
    <xf numFmtId="0" fontId="2" fillId="0" borderId="0" xfId="5" quotePrefix="1" applyAlignment="1">
      <alignment horizontal="center"/>
    </xf>
    <xf numFmtId="0" fontId="2" fillId="0" borderId="0" xfId="5" applyAlignment="1">
      <alignment horizontal="center"/>
    </xf>
    <xf numFmtId="0" fontId="4" fillId="0" borderId="0" xfId="4" applyFont="1" applyAlignment="1">
      <alignment horizontal="center" wrapText="1"/>
    </xf>
    <xf numFmtId="0" fontId="4" fillId="0" borderId="0" xfId="5" applyFont="1" applyAlignment="1">
      <alignment horizontal="center" wrapText="1"/>
    </xf>
    <xf numFmtId="0" fontId="3" fillId="0" borderId="0" xfId="5" applyFont="1"/>
    <xf numFmtId="0" fontId="2" fillId="0" borderId="0" xfId="5" quotePrefix="1"/>
    <xf numFmtId="165" fontId="2" fillId="0" borderId="0" xfId="5" applyNumberFormat="1"/>
    <xf numFmtId="165" fontId="2" fillId="0" borderId="1" xfId="5" applyNumberFormat="1" applyBorder="1"/>
    <xf numFmtId="0" fontId="4" fillId="0" borderId="0" xfId="5" applyFont="1" applyAlignment="1">
      <alignment horizontal="right"/>
    </xf>
    <xf numFmtId="165" fontId="2" fillId="0" borderId="0" xfId="7" applyNumberFormat="1" applyFont="1"/>
    <xf numFmtId="0" fontId="2" fillId="0" borderId="0" xfId="5" applyAlignment="1">
      <alignment horizontal="left" indent="1"/>
    </xf>
    <xf numFmtId="14" fontId="2" fillId="0" borderId="0" xfId="5" applyNumberFormat="1" applyAlignment="1">
      <alignment horizontal="left"/>
    </xf>
    <xf numFmtId="0" fontId="6" fillId="0" borderId="0" xfId="5" applyFont="1" applyAlignment="1">
      <alignment horizontal="left" indent="2"/>
    </xf>
    <xf numFmtId="0" fontId="2" fillId="0" borderId="0" xfId="5" applyAlignment="1">
      <alignment horizontal="left" indent="2"/>
    </xf>
    <xf numFmtId="0" fontId="3" fillId="0" borderId="0" xfId="4" applyFont="1" applyAlignment="1">
      <alignment horizontal="right"/>
    </xf>
    <xf numFmtId="165" fontId="0" fillId="2" borderId="0" xfId="8" applyNumberFormat="1" applyFont="1" applyFill="1"/>
    <xf numFmtId="167" fontId="0" fillId="0" borderId="0" xfId="7" applyNumberFormat="1" applyFont="1"/>
    <xf numFmtId="0" fontId="4" fillId="0" borderId="1" xfId="4" applyFont="1" applyBorder="1" applyAlignment="1">
      <alignment horizontal="center"/>
    </xf>
    <xf numFmtId="164" fontId="2" fillId="3" borderId="0" xfId="4" applyNumberFormat="1" applyFill="1"/>
    <xf numFmtId="10" fontId="0" fillId="0" borderId="0" xfId="9" applyNumberFormat="1" applyFont="1"/>
    <xf numFmtId="164" fontId="2" fillId="3" borderId="1" xfId="4" applyNumberFormat="1" applyFill="1" applyBorder="1"/>
    <xf numFmtId="164" fontId="2" fillId="0" borderId="1" xfId="4" applyNumberFormat="1" applyBorder="1"/>
    <xf numFmtId="10" fontId="0" fillId="0" borderId="1" xfId="9" applyNumberFormat="1" applyFont="1" applyBorder="1"/>
    <xf numFmtId="165" fontId="0" fillId="0" borderId="0" xfId="8" applyNumberFormat="1" applyFont="1"/>
    <xf numFmtId="168" fontId="2" fillId="0" borderId="0" xfId="4" applyNumberFormat="1"/>
    <xf numFmtId="169" fontId="0" fillId="2" borderId="0" xfId="9" applyNumberFormat="1" applyFont="1" applyFill="1"/>
    <xf numFmtId="0" fontId="4" fillId="0" borderId="0" xfId="4" applyFont="1" applyAlignment="1">
      <alignment horizontal="left" vertical="top"/>
    </xf>
    <xf numFmtId="9" fontId="2" fillId="0" borderId="0" xfId="3" applyFont="1"/>
    <xf numFmtId="10" fontId="2" fillId="0" borderId="0" xfId="3" applyNumberFormat="1" applyFont="1"/>
    <xf numFmtId="0" fontId="2" fillId="0" borderId="0" xfId="5" quotePrefix="1" applyAlignment="1">
      <alignment horizontal="center" wrapText="1"/>
    </xf>
    <xf numFmtId="165" fontId="12" fillId="0" borderId="0" xfId="5" applyNumberFormat="1" applyFont="1"/>
    <xf numFmtId="0" fontId="12" fillId="0" borderId="0" xfId="5" applyFont="1"/>
    <xf numFmtId="43" fontId="12" fillId="0" borderId="0" xfId="1" applyFont="1"/>
    <xf numFmtId="0" fontId="12" fillId="0" borderId="0" xfId="4" applyFont="1"/>
    <xf numFmtId="0" fontId="4" fillId="0" borderId="0" xfId="0" applyFont="1" applyAlignment="1">
      <alignment horizontal="center"/>
    </xf>
    <xf numFmtId="0" fontId="2" fillId="0" borderId="0" xfId="0" applyFont="1"/>
    <xf numFmtId="10" fontId="2" fillId="0" borderId="1" xfId="3" applyNumberFormat="1" applyFont="1" applyBorder="1"/>
    <xf numFmtId="165" fontId="2" fillId="0" borderId="0" xfId="1" applyNumberFormat="1" applyFont="1"/>
    <xf numFmtId="0" fontId="2" fillId="0" borderId="1" xfId="5" applyBorder="1"/>
    <xf numFmtId="165" fontId="2" fillId="0" borderId="0" xfId="4" applyNumberFormat="1"/>
    <xf numFmtId="165" fontId="2" fillId="0" borderId="1" xfId="1" applyNumberFormat="1" applyFont="1" applyBorder="1"/>
    <xf numFmtId="167" fontId="12" fillId="0" borderId="0" xfId="2" applyNumberFormat="1" applyFont="1"/>
    <xf numFmtId="165" fontId="12" fillId="0" borderId="0" xfId="1" applyNumberFormat="1" applyFont="1"/>
    <xf numFmtId="164" fontId="12" fillId="0" borderId="0" xfId="1" applyNumberFormat="1" applyFont="1"/>
    <xf numFmtId="165" fontId="2" fillId="0" borderId="0" xfId="1" applyNumberFormat="1" applyFont="1" applyFill="1"/>
    <xf numFmtId="167" fontId="12" fillId="0" borderId="0" xfId="4" applyNumberFormat="1" applyFont="1"/>
    <xf numFmtId="0" fontId="14" fillId="0" borderId="0" xfId="0" applyFont="1"/>
    <xf numFmtId="0" fontId="15" fillId="0" borderId="0" xfId="0" applyFont="1"/>
    <xf numFmtId="164" fontId="11" fillId="0" borderId="0" xfId="4" applyNumberFormat="1" applyFont="1" applyAlignment="1">
      <alignment horizontal="right"/>
    </xf>
    <xf numFmtId="165" fontId="15" fillId="0" borderId="0" xfId="1" applyNumberFormat="1" applyFont="1" applyFill="1"/>
    <xf numFmtId="0" fontId="10" fillId="0" borderId="0" xfId="0" applyFont="1"/>
    <xf numFmtId="164" fontId="4" fillId="0" borderId="0" xfId="4" applyNumberFormat="1" applyFont="1" applyAlignment="1">
      <alignment horizontal="right"/>
    </xf>
    <xf numFmtId="165" fontId="10" fillId="0" borderId="0" xfId="1" applyNumberFormat="1" applyFont="1" applyFill="1"/>
    <xf numFmtId="165" fontId="10" fillId="0" borderId="0" xfId="1" applyNumberFormat="1" applyFont="1" applyFill="1" applyBorder="1"/>
    <xf numFmtId="165" fontId="10" fillId="0" borderId="1" xfId="1" applyNumberFormat="1" applyFont="1" applyFill="1" applyBorder="1"/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5" fontId="10" fillId="0" borderId="0" xfId="0" applyNumberFormat="1" applyFont="1"/>
    <xf numFmtId="165" fontId="10" fillId="2" borderId="0" xfId="1" applyNumberFormat="1" applyFont="1" applyFill="1"/>
    <xf numFmtId="165" fontId="10" fillId="0" borderId="0" xfId="1" applyNumberFormat="1" applyFont="1"/>
    <xf numFmtId="0" fontId="10" fillId="0" borderId="0" xfId="0" applyFont="1" applyAlignment="1">
      <alignment horizontal="left"/>
    </xf>
  </cellXfs>
  <cellStyles count="17">
    <cellStyle name="Comma" xfId="1" builtinId="3"/>
    <cellStyle name="Comma 14" xfId="14" xr:uid="{60E10C20-ABC0-4F43-A56C-9536238F9DB2}"/>
    <cellStyle name="Comma 2" xfId="8" xr:uid="{68EDD57F-9EB0-4122-A572-1F6223489AED}"/>
    <cellStyle name="Comma 3 2" xfId="6" xr:uid="{8454EDEA-0DAA-495F-953A-2246DAC4FF47}"/>
    <cellStyle name="Currency" xfId="2" builtinId="4"/>
    <cellStyle name="Currency 12" xfId="11" xr:uid="{94F6C4D6-7041-4775-92F8-C1D2B5C269AC}"/>
    <cellStyle name="Currency 2" xfId="7" xr:uid="{E7CC9C63-9DA1-4654-A4E4-E150F3C7598A}"/>
    <cellStyle name="Normal" xfId="0" builtinId="0"/>
    <cellStyle name="Normal 2" xfId="4" xr:uid="{406EFC91-A2EC-438D-9034-49921CECE00A}"/>
    <cellStyle name="Normal 2 2 2" xfId="5" xr:uid="{A0855272-6547-4942-8A20-3DCEA7F501E9}"/>
    <cellStyle name="Normal 7" xfId="15" xr:uid="{A01D81F1-1000-4FE1-A9C5-6EC483059034}"/>
    <cellStyle name="Normal 747" xfId="16" xr:uid="{60EB31B8-360A-468F-8E42-261D5E591C41}"/>
    <cellStyle name="Normal 750" xfId="10" xr:uid="{A9374AB0-1A47-49EC-9101-8D73F4124958}"/>
    <cellStyle name="Percent" xfId="3" builtinId="5"/>
    <cellStyle name="Percent 10" xfId="13" xr:uid="{62A200DD-5376-4FA5-AE31-00D5ABB6E407}"/>
    <cellStyle name="Percent 157" xfId="12" xr:uid="{B7F87416-6C68-4A92-B18C-A4477F6651F6}"/>
    <cellStyle name="Percent 2" xfId="9" xr:uid="{9D089BD0-2CD9-4DBB-BAFC-72E45B8AD1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5E1F5-BBDF-4907-A266-0C7B6588EEAE}">
  <sheetPr>
    <pageSetUpPr fitToPage="1"/>
  </sheetPr>
  <dimension ref="A1:M131"/>
  <sheetViews>
    <sheetView tabSelected="1" zoomScaleNormal="100" workbookViewId="0"/>
  </sheetViews>
  <sheetFormatPr defaultColWidth="9.1796875" defaultRowHeight="12.5" x14ac:dyDescent="0.25"/>
  <cols>
    <col min="1" max="1" width="5.7265625" style="23" customWidth="1"/>
    <col min="2" max="2" width="4.7265625" style="23" customWidth="1"/>
    <col min="3" max="3" width="55.26953125" style="23" customWidth="1"/>
    <col min="4" max="7" width="13.7265625" style="23" customWidth="1"/>
    <col min="8" max="8" width="4.453125" style="23" customWidth="1"/>
    <col min="9" max="9" width="67.54296875" style="23" bestFit="1" customWidth="1"/>
    <col min="10" max="10" width="13.453125" style="23" bestFit="1" customWidth="1"/>
    <col min="11" max="16384" width="9.1796875" style="23"/>
  </cols>
  <sheetData>
    <row r="1" spans="1:11" ht="13" x14ac:dyDescent="0.3">
      <c r="A1" s="22" t="s">
        <v>29</v>
      </c>
    </row>
    <row r="3" spans="1:11" ht="13" x14ac:dyDescent="0.3">
      <c r="A3" s="10" t="s">
        <v>2</v>
      </c>
      <c r="D3" s="24" t="s">
        <v>30</v>
      </c>
      <c r="E3" s="24"/>
      <c r="F3" s="24"/>
    </row>
    <row r="4" spans="1:11" ht="13" x14ac:dyDescent="0.3">
      <c r="A4" s="25">
        <v>1</v>
      </c>
      <c r="B4" s="26" t="s">
        <v>31</v>
      </c>
      <c r="E4" s="27"/>
      <c r="G4" s="28"/>
      <c r="H4" s="28"/>
      <c r="I4" s="29"/>
    </row>
    <row r="5" spans="1:11" ht="13" x14ac:dyDescent="0.3">
      <c r="A5" s="25">
        <f>A4+1</f>
        <v>2</v>
      </c>
      <c r="B5" s="30" t="s">
        <v>32</v>
      </c>
      <c r="C5" s="31" t="s">
        <v>33</v>
      </c>
      <c r="D5" s="32"/>
      <c r="E5" s="32"/>
      <c r="F5" s="33"/>
    </row>
    <row r="6" spans="1:11" ht="13" x14ac:dyDescent="0.3">
      <c r="A6" s="25">
        <f t="shared" ref="A6:A69" si="0">A5+1</f>
        <v>3</v>
      </c>
      <c r="B6" s="30" t="s">
        <v>34</v>
      </c>
      <c r="C6" s="32"/>
      <c r="D6" s="32"/>
      <c r="E6" s="32"/>
      <c r="F6" s="32"/>
      <c r="J6" s="34"/>
      <c r="K6" s="28"/>
    </row>
    <row r="7" spans="1:11" ht="13" x14ac:dyDescent="0.3">
      <c r="A7" s="25">
        <f t="shared" si="0"/>
        <v>4</v>
      </c>
      <c r="B7" s="30" t="s">
        <v>35</v>
      </c>
      <c r="C7" s="32"/>
      <c r="D7" s="32"/>
      <c r="E7" s="32"/>
      <c r="F7" s="32"/>
      <c r="J7" s="34"/>
      <c r="K7" s="28"/>
    </row>
    <row r="8" spans="1:11" ht="13" x14ac:dyDescent="0.3">
      <c r="A8" s="25"/>
      <c r="B8" s="30"/>
      <c r="C8" s="30"/>
      <c r="D8" s="30"/>
      <c r="E8" s="30"/>
      <c r="F8" s="30"/>
      <c r="J8" s="34"/>
      <c r="K8" s="28"/>
    </row>
    <row r="9" spans="1:11" ht="13" x14ac:dyDescent="0.3">
      <c r="A9" s="25"/>
      <c r="C9" s="30"/>
      <c r="D9" s="30"/>
      <c r="E9" s="30"/>
      <c r="F9" s="30"/>
      <c r="J9" s="34"/>
      <c r="K9" s="28"/>
    </row>
    <row r="10" spans="1:11" ht="13" x14ac:dyDescent="0.3">
      <c r="A10" s="25"/>
      <c r="B10" s="35" t="s">
        <v>36</v>
      </c>
      <c r="H10" s="36"/>
      <c r="I10" s="37"/>
      <c r="J10" s="34"/>
      <c r="K10" s="28"/>
    </row>
    <row r="11" spans="1:11" ht="13" x14ac:dyDescent="0.3">
      <c r="A11" s="25"/>
      <c r="B11" s="35"/>
      <c r="H11" s="36"/>
      <c r="I11" s="37"/>
      <c r="J11" s="34"/>
      <c r="K11" s="28"/>
    </row>
    <row r="12" spans="1:11" ht="13" x14ac:dyDescent="0.3">
      <c r="A12" s="25"/>
      <c r="C12" s="28"/>
      <c r="D12" s="38" t="s">
        <v>15</v>
      </c>
      <c r="E12" s="38" t="s">
        <v>16</v>
      </c>
      <c r="F12" s="38" t="s">
        <v>17</v>
      </c>
      <c r="G12" s="38" t="s">
        <v>18</v>
      </c>
      <c r="H12" s="36"/>
      <c r="I12" s="37"/>
      <c r="J12" s="34"/>
      <c r="K12" s="28"/>
    </row>
    <row r="13" spans="1:11" ht="13" x14ac:dyDescent="0.3">
      <c r="C13" s="28"/>
      <c r="D13" s="39" t="s">
        <v>37</v>
      </c>
      <c r="E13" s="39" t="s">
        <v>38</v>
      </c>
      <c r="F13" s="39" t="s">
        <v>39</v>
      </c>
      <c r="G13" s="39" t="s">
        <v>40</v>
      </c>
      <c r="H13" s="34"/>
      <c r="I13" s="40"/>
      <c r="J13" s="28"/>
      <c r="K13" s="28"/>
    </row>
    <row r="14" spans="1:11" ht="13" x14ac:dyDescent="0.3">
      <c r="A14" s="25"/>
      <c r="C14" s="28"/>
      <c r="D14" s="39" t="s">
        <v>1</v>
      </c>
      <c r="E14" s="39" t="s">
        <v>1</v>
      </c>
      <c r="F14" s="39" t="s">
        <v>1</v>
      </c>
      <c r="G14" s="39" t="s">
        <v>1</v>
      </c>
      <c r="H14" s="40"/>
      <c r="I14" s="41"/>
      <c r="J14" s="28"/>
      <c r="K14" s="28"/>
    </row>
    <row r="15" spans="1:11" ht="13" x14ac:dyDescent="0.3">
      <c r="A15" s="10" t="s">
        <v>2</v>
      </c>
      <c r="B15" s="42" t="s">
        <v>41</v>
      </c>
      <c r="D15" s="43" t="s">
        <v>42</v>
      </c>
      <c r="E15" s="43" t="s">
        <v>42</v>
      </c>
      <c r="F15" s="43" t="s">
        <v>42</v>
      </c>
      <c r="G15" s="43" t="s">
        <v>42</v>
      </c>
      <c r="H15" s="34"/>
      <c r="I15" s="44" t="s">
        <v>0</v>
      </c>
      <c r="J15" s="28"/>
      <c r="K15" s="28"/>
    </row>
    <row r="16" spans="1:11" ht="13" x14ac:dyDescent="0.3">
      <c r="A16" s="25">
        <f>A7+1</f>
        <v>5</v>
      </c>
      <c r="C16" s="45" t="s">
        <v>43</v>
      </c>
      <c r="D16" s="33">
        <f>'Tab B - Allocated O&amp;M'!M10</f>
        <v>13560.99156384034</v>
      </c>
      <c r="E16" s="32"/>
      <c r="F16" s="32"/>
      <c r="G16" s="46">
        <f>SUM(D16:F16)</f>
        <v>13560.99156384034</v>
      </c>
      <c r="H16" s="34"/>
      <c r="I16" s="47" t="s">
        <v>156</v>
      </c>
      <c r="J16" s="28"/>
      <c r="K16" s="28"/>
    </row>
    <row r="17" spans="1:11" ht="13" x14ac:dyDescent="0.3">
      <c r="A17" s="25">
        <f t="shared" si="0"/>
        <v>6</v>
      </c>
      <c r="C17" s="45" t="s">
        <v>44</v>
      </c>
      <c r="D17" s="48"/>
      <c r="E17" s="24"/>
      <c r="F17" s="24"/>
      <c r="G17" s="46">
        <f t="shared" ref="G17:G46" si="1">SUM(D17:F17)</f>
        <v>0</v>
      </c>
      <c r="I17" s="49"/>
    </row>
    <row r="18" spans="1:11" ht="13" x14ac:dyDescent="0.3">
      <c r="A18" s="25">
        <f t="shared" si="0"/>
        <v>7</v>
      </c>
      <c r="C18" s="45" t="s">
        <v>45</v>
      </c>
      <c r="D18" s="48">
        <f>'Tab B - Allocated O&amp;M'!M12</f>
        <v>28087.04475416959</v>
      </c>
      <c r="E18" s="24"/>
      <c r="F18" s="24"/>
      <c r="G18" s="46">
        <f t="shared" si="1"/>
        <v>28087.04475416959</v>
      </c>
      <c r="I18" s="47" t="s">
        <v>157</v>
      </c>
    </row>
    <row r="19" spans="1:11" ht="13" x14ac:dyDescent="0.3">
      <c r="A19" s="25">
        <f t="shared" si="0"/>
        <v>8</v>
      </c>
      <c r="C19" s="45" t="s">
        <v>46</v>
      </c>
      <c r="D19" s="48"/>
      <c r="E19" s="24"/>
      <c r="F19" s="24"/>
      <c r="G19" s="46">
        <f t="shared" si="1"/>
        <v>0</v>
      </c>
      <c r="I19" s="49"/>
    </row>
    <row r="20" spans="1:11" ht="13" x14ac:dyDescent="0.3">
      <c r="A20" s="25">
        <f t="shared" si="0"/>
        <v>9</v>
      </c>
      <c r="C20" s="45" t="s">
        <v>47</v>
      </c>
      <c r="D20" s="48">
        <f>'Tab B - Allocated O&amp;M'!M14</f>
        <v>22236.441218494707</v>
      </c>
      <c r="E20" s="24"/>
      <c r="F20" s="24"/>
      <c r="G20" s="46">
        <f t="shared" si="1"/>
        <v>22236.441218494707</v>
      </c>
      <c r="I20" s="47" t="s">
        <v>158</v>
      </c>
    </row>
    <row r="21" spans="1:11" ht="13" x14ac:dyDescent="0.3">
      <c r="A21" s="25">
        <f t="shared" si="0"/>
        <v>10</v>
      </c>
      <c r="C21" s="45" t="s">
        <v>48</v>
      </c>
      <c r="D21" s="48"/>
      <c r="E21" s="24"/>
      <c r="F21" s="24"/>
      <c r="G21" s="46">
        <f t="shared" si="1"/>
        <v>0</v>
      </c>
      <c r="I21" s="49"/>
    </row>
    <row r="22" spans="1:11" ht="13" x14ac:dyDescent="0.3">
      <c r="A22" s="25">
        <f t="shared" si="0"/>
        <v>11</v>
      </c>
      <c r="C22" s="45" t="s">
        <v>49</v>
      </c>
      <c r="D22" s="48"/>
      <c r="E22" s="24"/>
      <c r="F22" s="24"/>
      <c r="G22" s="46">
        <f t="shared" si="1"/>
        <v>0</v>
      </c>
      <c r="I22" s="49"/>
    </row>
    <row r="23" spans="1:11" ht="13" x14ac:dyDescent="0.3">
      <c r="A23" s="25">
        <f t="shared" si="0"/>
        <v>12</v>
      </c>
      <c r="C23" s="45" t="s">
        <v>50</v>
      </c>
      <c r="D23" s="48"/>
      <c r="E23" s="24"/>
      <c r="F23" s="24"/>
      <c r="G23" s="46">
        <f t="shared" si="1"/>
        <v>0</v>
      </c>
      <c r="I23" s="49"/>
    </row>
    <row r="24" spans="1:11" ht="13" x14ac:dyDescent="0.3">
      <c r="A24" s="25">
        <f t="shared" si="0"/>
        <v>13</v>
      </c>
      <c r="C24" s="45" t="s">
        <v>51</v>
      </c>
      <c r="D24" s="48">
        <f>'Tab B - Allocated O&amp;M'!M18</f>
        <v>136146.33164994285</v>
      </c>
      <c r="E24" s="24"/>
      <c r="F24" s="24"/>
      <c r="G24" s="46">
        <f t="shared" si="1"/>
        <v>136146.33164994285</v>
      </c>
      <c r="I24" s="47" t="s">
        <v>159</v>
      </c>
    </row>
    <row r="25" spans="1:11" ht="13" x14ac:dyDescent="0.3">
      <c r="A25" s="25">
        <f t="shared" si="0"/>
        <v>14</v>
      </c>
      <c r="C25" s="45" t="s">
        <v>52</v>
      </c>
      <c r="D25" s="48"/>
      <c r="E25" s="24"/>
      <c r="F25" s="24"/>
      <c r="G25" s="46">
        <f t="shared" si="1"/>
        <v>0</v>
      </c>
      <c r="I25" s="49"/>
    </row>
    <row r="26" spans="1:11" ht="13" x14ac:dyDescent="0.3">
      <c r="A26" s="25">
        <f t="shared" si="0"/>
        <v>15</v>
      </c>
      <c r="C26" s="45" t="s">
        <v>53</v>
      </c>
      <c r="D26" s="48"/>
      <c r="E26" s="24"/>
      <c r="F26" s="24"/>
      <c r="G26" s="46">
        <f t="shared" si="1"/>
        <v>0</v>
      </c>
      <c r="I26" s="49"/>
    </row>
    <row r="27" spans="1:11" ht="13" x14ac:dyDescent="0.3">
      <c r="A27" s="25">
        <f t="shared" si="0"/>
        <v>16</v>
      </c>
      <c r="C27" s="45" t="s">
        <v>54</v>
      </c>
      <c r="D27" s="48"/>
      <c r="E27" s="24"/>
      <c r="F27" s="24"/>
      <c r="G27" s="46">
        <f t="shared" si="1"/>
        <v>0</v>
      </c>
      <c r="I27" s="49"/>
    </row>
    <row r="28" spans="1:11" ht="13" x14ac:dyDescent="0.3">
      <c r="A28" s="25">
        <f t="shared" si="0"/>
        <v>17</v>
      </c>
      <c r="C28" s="45" t="s">
        <v>55</v>
      </c>
      <c r="D28" s="48"/>
      <c r="E28" s="24"/>
      <c r="F28" s="24"/>
      <c r="G28" s="46">
        <f t="shared" si="1"/>
        <v>0</v>
      </c>
      <c r="I28" s="49"/>
    </row>
    <row r="29" spans="1:11" ht="13" x14ac:dyDescent="0.3">
      <c r="A29" s="25">
        <f t="shared" si="0"/>
        <v>18</v>
      </c>
      <c r="C29" s="45" t="s">
        <v>56</v>
      </c>
      <c r="D29" s="48">
        <f>'Tab B - Allocated O&amp;M'!M23</f>
        <v>84633.380523769185</v>
      </c>
      <c r="E29" s="24"/>
      <c r="F29" s="24"/>
      <c r="G29" s="46">
        <f t="shared" si="1"/>
        <v>84633.380523769185</v>
      </c>
      <c r="I29" s="47" t="s">
        <v>160</v>
      </c>
    </row>
    <row r="30" spans="1:11" ht="13" x14ac:dyDescent="0.3">
      <c r="A30" s="25">
        <f t="shared" si="0"/>
        <v>19</v>
      </c>
      <c r="C30" s="45" t="s">
        <v>57</v>
      </c>
      <c r="D30" s="48"/>
      <c r="E30" s="24"/>
      <c r="F30" s="24"/>
      <c r="G30" s="46">
        <f t="shared" si="1"/>
        <v>0</v>
      </c>
      <c r="I30" s="49"/>
    </row>
    <row r="31" spans="1:11" ht="13" x14ac:dyDescent="0.3">
      <c r="A31" s="25">
        <f t="shared" si="0"/>
        <v>20</v>
      </c>
      <c r="C31" s="45" t="s">
        <v>58</v>
      </c>
      <c r="D31" s="48"/>
      <c r="E31" s="24"/>
      <c r="F31" s="24"/>
      <c r="G31" s="46">
        <f t="shared" si="1"/>
        <v>0</v>
      </c>
      <c r="I31" s="49"/>
    </row>
    <row r="32" spans="1:11" ht="13" x14ac:dyDescent="0.3">
      <c r="A32" s="25">
        <f t="shared" si="0"/>
        <v>21</v>
      </c>
      <c r="C32" s="45" t="s">
        <v>59</v>
      </c>
      <c r="D32" s="48">
        <f>'Tab A - True-Up Allocation'!K32</f>
        <v>1472791.9272137634</v>
      </c>
      <c r="E32" s="24"/>
      <c r="F32" s="24"/>
      <c r="G32" s="46">
        <f t="shared" si="1"/>
        <v>1472791.9272137634</v>
      </c>
      <c r="I32" s="47" t="s">
        <v>241</v>
      </c>
      <c r="J32" s="108"/>
      <c r="K32" s="109"/>
    </row>
    <row r="33" spans="1:12" ht="13" x14ac:dyDescent="0.3">
      <c r="A33" s="25">
        <f t="shared" si="0"/>
        <v>22</v>
      </c>
      <c r="C33" s="45" t="s">
        <v>60</v>
      </c>
      <c r="D33" s="48"/>
      <c r="E33" s="24"/>
      <c r="F33" s="24"/>
      <c r="G33" s="46">
        <f t="shared" si="1"/>
        <v>0</v>
      </c>
      <c r="I33" s="49"/>
    </row>
    <row r="34" spans="1:12" ht="13" x14ac:dyDescent="0.3">
      <c r="A34" s="25">
        <f t="shared" si="0"/>
        <v>23</v>
      </c>
      <c r="C34" s="45" t="s">
        <v>61</v>
      </c>
      <c r="D34" s="48"/>
      <c r="E34" s="24"/>
      <c r="F34" s="24"/>
      <c r="G34" s="46">
        <f t="shared" si="1"/>
        <v>0</v>
      </c>
      <c r="I34" s="49"/>
    </row>
    <row r="35" spans="1:12" ht="13" x14ac:dyDescent="0.3">
      <c r="A35" s="25">
        <f t="shared" si="0"/>
        <v>24</v>
      </c>
      <c r="C35" s="45" t="s">
        <v>62</v>
      </c>
      <c r="D35" s="48">
        <f>'Tab B - Allocated O&amp;M'!M29</f>
        <v>4422.0172014795025</v>
      </c>
      <c r="E35" s="24"/>
      <c r="F35" s="24"/>
      <c r="G35" s="46">
        <f t="shared" si="1"/>
        <v>4422.0172014795025</v>
      </c>
      <c r="I35" s="47" t="s">
        <v>161</v>
      </c>
    </row>
    <row r="36" spans="1:12" ht="13" x14ac:dyDescent="0.3">
      <c r="A36" s="25">
        <f t="shared" si="0"/>
        <v>25</v>
      </c>
      <c r="C36" s="45" t="s">
        <v>63</v>
      </c>
      <c r="D36" s="48"/>
      <c r="E36" s="24"/>
      <c r="F36" s="24"/>
      <c r="G36" s="46">
        <f t="shared" si="1"/>
        <v>0</v>
      </c>
      <c r="I36" s="49"/>
    </row>
    <row r="37" spans="1:12" ht="13" x14ac:dyDescent="0.3">
      <c r="A37" s="25">
        <f t="shared" si="0"/>
        <v>26</v>
      </c>
      <c r="C37" s="45" t="s">
        <v>64</v>
      </c>
      <c r="D37" s="48"/>
      <c r="E37" s="24"/>
      <c r="F37" s="24"/>
      <c r="G37" s="46">
        <f t="shared" si="1"/>
        <v>0</v>
      </c>
      <c r="I37" s="49"/>
    </row>
    <row r="38" spans="1:12" ht="13" x14ac:dyDescent="0.3">
      <c r="A38" s="25">
        <f t="shared" si="0"/>
        <v>27</v>
      </c>
      <c r="C38" s="45" t="s">
        <v>65</v>
      </c>
      <c r="D38" s="48"/>
      <c r="E38" s="24"/>
      <c r="F38" s="24"/>
      <c r="G38" s="46">
        <f t="shared" si="1"/>
        <v>0</v>
      </c>
      <c r="I38" s="49"/>
    </row>
    <row r="39" spans="1:12" ht="13" x14ac:dyDescent="0.3">
      <c r="A39" s="25">
        <f t="shared" si="0"/>
        <v>28</v>
      </c>
      <c r="C39" s="45" t="s">
        <v>66</v>
      </c>
      <c r="D39" s="48"/>
      <c r="E39" s="24"/>
      <c r="F39" s="24"/>
      <c r="G39" s="46">
        <f t="shared" si="1"/>
        <v>0</v>
      </c>
      <c r="I39" s="49"/>
    </row>
    <row r="40" spans="1:12" ht="13" x14ac:dyDescent="0.3">
      <c r="A40" s="25">
        <f t="shared" si="0"/>
        <v>29</v>
      </c>
      <c r="C40" s="45" t="s">
        <v>67</v>
      </c>
      <c r="D40" s="48"/>
      <c r="E40" s="24"/>
      <c r="F40" s="24"/>
      <c r="G40" s="46">
        <f t="shared" si="1"/>
        <v>0</v>
      </c>
      <c r="I40" s="49"/>
    </row>
    <row r="41" spans="1:12" ht="13" x14ac:dyDescent="0.3">
      <c r="A41" s="25">
        <f t="shared" si="0"/>
        <v>30</v>
      </c>
      <c r="C41" s="45" t="s">
        <v>68</v>
      </c>
      <c r="D41" s="48">
        <f>'Tab B - Allocated O&amp;M'!M35</f>
        <v>419283.51394049649</v>
      </c>
      <c r="E41" s="24"/>
      <c r="F41" s="24"/>
      <c r="G41" s="46">
        <f t="shared" si="1"/>
        <v>419283.51394049649</v>
      </c>
      <c r="I41" s="47" t="s">
        <v>162</v>
      </c>
    </row>
    <row r="42" spans="1:12" ht="13" x14ac:dyDescent="0.3">
      <c r="A42" s="25">
        <f t="shared" si="0"/>
        <v>31</v>
      </c>
      <c r="C42" s="45" t="s">
        <v>69</v>
      </c>
      <c r="D42" s="48"/>
      <c r="E42" s="24"/>
      <c r="F42" s="24"/>
      <c r="G42" s="46">
        <f t="shared" si="1"/>
        <v>0</v>
      </c>
      <c r="I42" s="49"/>
    </row>
    <row r="43" spans="1:12" ht="13" x14ac:dyDescent="0.3">
      <c r="A43" s="25">
        <f t="shared" si="0"/>
        <v>32</v>
      </c>
      <c r="C43" s="45" t="s">
        <v>70</v>
      </c>
      <c r="D43" s="48"/>
      <c r="E43" s="24"/>
      <c r="F43" s="24"/>
      <c r="G43" s="46">
        <f t="shared" si="1"/>
        <v>0</v>
      </c>
      <c r="I43" s="49"/>
    </row>
    <row r="44" spans="1:12" ht="13" x14ac:dyDescent="0.3">
      <c r="A44" s="25">
        <f t="shared" si="0"/>
        <v>33</v>
      </c>
      <c r="C44" s="45" t="s">
        <v>71</v>
      </c>
      <c r="D44" s="48"/>
      <c r="E44" s="24"/>
      <c r="F44" s="24"/>
      <c r="G44" s="46">
        <f t="shared" si="1"/>
        <v>0</v>
      </c>
      <c r="I44" s="49"/>
    </row>
    <row r="45" spans="1:12" ht="13" x14ac:dyDescent="0.3">
      <c r="A45" s="25">
        <f t="shared" si="0"/>
        <v>34</v>
      </c>
      <c r="C45" s="45" t="s">
        <v>72</v>
      </c>
      <c r="D45" s="48">
        <f>'Tab B - Allocated O&amp;M'!M39</f>
        <v>4620.7104100705819</v>
      </c>
      <c r="E45" s="24"/>
      <c r="F45" s="24"/>
      <c r="G45" s="46">
        <f t="shared" si="1"/>
        <v>4620.7104100705819</v>
      </c>
      <c r="I45" s="47" t="s">
        <v>163</v>
      </c>
    </row>
    <row r="46" spans="1:12" ht="13" x14ac:dyDescent="0.3">
      <c r="A46" s="25">
        <f t="shared" si="0"/>
        <v>35</v>
      </c>
      <c r="C46" s="45" t="s">
        <v>73</v>
      </c>
      <c r="D46" s="48"/>
      <c r="E46" s="24"/>
      <c r="F46" s="24"/>
      <c r="G46" s="46">
        <f t="shared" si="1"/>
        <v>0</v>
      </c>
      <c r="I46" s="49"/>
    </row>
    <row r="47" spans="1:12" ht="13" x14ac:dyDescent="0.3">
      <c r="A47" s="25">
        <f t="shared" si="0"/>
        <v>36</v>
      </c>
      <c r="C47" s="51" t="s">
        <v>74</v>
      </c>
      <c r="D47" s="52"/>
      <c r="E47" s="53"/>
      <c r="F47" s="53"/>
      <c r="G47" s="54"/>
      <c r="I47" s="55"/>
    </row>
    <row r="48" spans="1:12" ht="13" x14ac:dyDescent="0.3">
      <c r="A48" s="25">
        <f t="shared" si="0"/>
        <v>37</v>
      </c>
      <c r="C48" s="56" t="s">
        <v>75</v>
      </c>
      <c r="D48" s="47">
        <f>SUM(D16:D47)</f>
        <v>2185782.3584760264</v>
      </c>
      <c r="E48" s="47">
        <f t="shared" ref="E48:F48" si="2">SUM(E16:E46)</f>
        <v>0</v>
      </c>
      <c r="F48" s="47">
        <f t="shared" si="2"/>
        <v>0</v>
      </c>
      <c r="G48" s="46">
        <f>SUM(D48:F48)</f>
        <v>2185782.3584760264</v>
      </c>
      <c r="J48" s="108"/>
      <c r="K48" s="109"/>
      <c r="L48" s="109"/>
    </row>
    <row r="49" spans="1:9" ht="13" x14ac:dyDescent="0.3">
      <c r="A49" s="25"/>
      <c r="C49" s="56"/>
      <c r="D49" s="47"/>
    </row>
    <row r="50" spans="1:9" ht="13" x14ac:dyDescent="0.3">
      <c r="A50" s="25"/>
      <c r="C50" s="56"/>
      <c r="D50" s="38" t="s">
        <v>15</v>
      </c>
      <c r="E50" s="38" t="s">
        <v>16</v>
      </c>
      <c r="F50" s="38" t="s">
        <v>17</v>
      </c>
      <c r="G50" s="38" t="s">
        <v>18</v>
      </c>
    </row>
    <row r="51" spans="1:9" ht="13" x14ac:dyDescent="0.3">
      <c r="A51" s="25"/>
      <c r="D51" s="39" t="s">
        <v>37</v>
      </c>
      <c r="E51" s="39" t="s">
        <v>38</v>
      </c>
      <c r="F51" s="39" t="s">
        <v>39</v>
      </c>
      <c r="G51" s="39" t="s">
        <v>40</v>
      </c>
    </row>
    <row r="52" spans="1:9" ht="13" x14ac:dyDescent="0.3">
      <c r="A52" s="25"/>
      <c r="D52" s="39" t="s">
        <v>1</v>
      </c>
      <c r="E52" s="39" t="s">
        <v>1</v>
      </c>
      <c r="F52" s="39" t="s">
        <v>1</v>
      </c>
      <c r="G52" s="39" t="s">
        <v>1</v>
      </c>
    </row>
    <row r="53" spans="1:9" ht="13" x14ac:dyDescent="0.3">
      <c r="A53" s="10" t="s">
        <v>2</v>
      </c>
      <c r="B53" s="42" t="s">
        <v>76</v>
      </c>
      <c r="D53" s="43" t="s">
        <v>42</v>
      </c>
      <c r="E53" s="43" t="s">
        <v>42</v>
      </c>
      <c r="F53" s="43" t="s">
        <v>42</v>
      </c>
      <c r="G53" s="43" t="s">
        <v>42</v>
      </c>
      <c r="I53" s="44" t="s">
        <v>0</v>
      </c>
    </row>
    <row r="54" spans="1:9" ht="13" x14ac:dyDescent="0.3">
      <c r="A54" s="25">
        <f>A48+1</f>
        <v>38</v>
      </c>
      <c r="C54" s="23" t="s">
        <v>77</v>
      </c>
      <c r="D54" s="48">
        <f>'Tab C - A&amp;G'!R10</f>
        <v>252730.34779775434</v>
      </c>
      <c r="E54" s="24"/>
      <c r="F54" s="24"/>
      <c r="G54" s="46">
        <f>SUM(D54:F54)</f>
        <v>252730.34779775434</v>
      </c>
      <c r="I54" s="47" t="s">
        <v>251</v>
      </c>
    </row>
    <row r="55" spans="1:9" ht="13" x14ac:dyDescent="0.3">
      <c r="A55" s="25">
        <f t="shared" si="0"/>
        <v>39</v>
      </c>
      <c r="C55" s="23" t="s">
        <v>78</v>
      </c>
      <c r="D55" s="48">
        <f>'Tab C - A&amp;G'!R11</f>
        <v>256588.34411962278</v>
      </c>
      <c r="E55" s="24"/>
      <c r="F55" s="24"/>
      <c r="G55" s="46">
        <f t="shared" ref="G55:G69" si="3">SUM(D55:F55)</f>
        <v>256588.34411962278</v>
      </c>
      <c r="I55" s="47" t="s">
        <v>252</v>
      </c>
    </row>
    <row r="56" spans="1:9" ht="13" x14ac:dyDescent="0.3">
      <c r="A56" s="25">
        <f t="shared" si="0"/>
        <v>40</v>
      </c>
      <c r="C56" s="23" t="s">
        <v>79</v>
      </c>
      <c r="D56" s="48">
        <f>'Tab C - A&amp;G'!R12</f>
        <v>-136285.92453143935</v>
      </c>
      <c r="E56" s="24"/>
      <c r="F56" s="24"/>
      <c r="G56" s="46">
        <f t="shared" si="3"/>
        <v>-136285.92453143935</v>
      </c>
      <c r="I56" s="47" t="s">
        <v>253</v>
      </c>
    </row>
    <row r="57" spans="1:9" ht="13" x14ac:dyDescent="0.3">
      <c r="A57" s="25">
        <f t="shared" si="0"/>
        <v>41</v>
      </c>
      <c r="C57" s="23" t="s">
        <v>80</v>
      </c>
      <c r="D57" s="48">
        <f>'Tab C - A&amp;G'!R13</f>
        <v>55319.252729047017</v>
      </c>
      <c r="E57" s="24"/>
      <c r="F57" s="24"/>
      <c r="G57" s="46">
        <f t="shared" si="3"/>
        <v>55319.252729047017</v>
      </c>
      <c r="I57" s="47" t="s">
        <v>254</v>
      </c>
    </row>
    <row r="58" spans="1:9" ht="13" x14ac:dyDescent="0.3">
      <c r="A58" s="25">
        <f t="shared" si="0"/>
        <v>42</v>
      </c>
      <c r="C58" s="23" t="s">
        <v>81</v>
      </c>
      <c r="D58" s="48">
        <f>'Tab C - A&amp;G'!R14</f>
        <v>0</v>
      </c>
      <c r="E58" s="24"/>
      <c r="F58" s="24"/>
      <c r="G58" s="46">
        <f t="shared" si="3"/>
        <v>0</v>
      </c>
      <c r="I58" s="47" t="s">
        <v>255</v>
      </c>
    </row>
    <row r="59" spans="1:9" ht="13" x14ac:dyDescent="0.3">
      <c r="A59" s="25">
        <f t="shared" si="0"/>
        <v>43</v>
      </c>
      <c r="C59" s="23" t="s">
        <v>82</v>
      </c>
      <c r="D59" s="48">
        <f>'Tab C - A&amp;G'!R15</f>
        <v>862107.58348749939</v>
      </c>
      <c r="E59" s="24"/>
      <c r="F59" s="24"/>
      <c r="G59" s="46">
        <f t="shared" si="3"/>
        <v>862107.58348749939</v>
      </c>
      <c r="I59" s="47" t="s">
        <v>256</v>
      </c>
    </row>
    <row r="60" spans="1:9" ht="13" x14ac:dyDescent="0.3">
      <c r="A60" s="25">
        <f t="shared" si="0"/>
        <v>44</v>
      </c>
      <c r="C60" s="23" t="s">
        <v>83</v>
      </c>
      <c r="D60" s="48">
        <f>'Tab C - A&amp;G'!R16</f>
        <v>31253.773121388433</v>
      </c>
      <c r="E60" s="24"/>
      <c r="F60" s="24"/>
      <c r="G60" s="46">
        <f t="shared" si="3"/>
        <v>31253.773121388433</v>
      </c>
      <c r="I60" s="47" t="s">
        <v>257</v>
      </c>
    </row>
    <row r="61" spans="1:9" ht="13" x14ac:dyDescent="0.3">
      <c r="A61" s="25">
        <f t="shared" si="0"/>
        <v>45</v>
      </c>
      <c r="C61" s="23" t="s">
        <v>84</v>
      </c>
      <c r="D61" s="48">
        <f>'Tab C - A&amp;G'!R17</f>
        <v>97128.129205992591</v>
      </c>
      <c r="E61" s="24"/>
      <c r="F61" s="24"/>
      <c r="G61" s="46">
        <f t="shared" si="3"/>
        <v>97128.129205992591</v>
      </c>
      <c r="I61" s="47" t="s">
        <v>258</v>
      </c>
    </row>
    <row r="62" spans="1:9" ht="13" x14ac:dyDescent="0.3">
      <c r="A62" s="25">
        <f t="shared" si="0"/>
        <v>46</v>
      </c>
      <c r="B62" s="57"/>
      <c r="C62" s="23" t="s">
        <v>85</v>
      </c>
      <c r="D62" s="48">
        <f>'Tab C - A&amp;G'!R18</f>
        <v>2465.7540953137764</v>
      </c>
      <c r="E62" s="24"/>
      <c r="F62" s="24"/>
      <c r="G62" s="46">
        <f t="shared" si="3"/>
        <v>2465.7540953137764</v>
      </c>
      <c r="I62" s="47" t="s">
        <v>259</v>
      </c>
    </row>
    <row r="63" spans="1:9" ht="13" x14ac:dyDescent="0.3">
      <c r="A63" s="25">
        <f t="shared" si="0"/>
        <v>47</v>
      </c>
      <c r="B63" s="58"/>
      <c r="C63" s="23" t="s">
        <v>86</v>
      </c>
      <c r="D63" s="48">
        <f>'Tab C - A&amp;G'!R19</f>
        <v>0</v>
      </c>
      <c r="E63" s="24"/>
      <c r="F63" s="24"/>
      <c r="G63" s="46">
        <f t="shared" si="3"/>
        <v>0</v>
      </c>
      <c r="I63" s="47" t="s">
        <v>260</v>
      </c>
    </row>
    <row r="64" spans="1:9" ht="13" x14ac:dyDescent="0.3">
      <c r="A64" s="25">
        <f t="shared" si="0"/>
        <v>48</v>
      </c>
      <c r="B64" s="28"/>
      <c r="C64" s="23" t="s">
        <v>87</v>
      </c>
      <c r="D64" s="48">
        <f>'Tab C - A&amp;G'!R20</f>
        <v>11902.055513210838</v>
      </c>
      <c r="E64" s="24"/>
      <c r="F64" s="24"/>
      <c r="G64" s="46">
        <f t="shared" si="3"/>
        <v>11902.055513210838</v>
      </c>
      <c r="I64" s="47" t="s">
        <v>261</v>
      </c>
    </row>
    <row r="65" spans="1:12" ht="13" x14ac:dyDescent="0.3">
      <c r="A65" s="25">
        <f t="shared" si="0"/>
        <v>49</v>
      </c>
      <c r="B65" s="58"/>
      <c r="C65" s="23" t="s">
        <v>88</v>
      </c>
      <c r="D65" s="48">
        <f>'Tab C - A&amp;G'!R21</f>
        <v>11049.345577287431</v>
      </c>
      <c r="E65" s="24"/>
      <c r="F65" s="24"/>
      <c r="G65" s="46">
        <f t="shared" si="3"/>
        <v>11049.345577287431</v>
      </c>
      <c r="I65" s="47" t="s">
        <v>262</v>
      </c>
    </row>
    <row r="66" spans="1:12" ht="13" x14ac:dyDescent="0.3">
      <c r="A66" s="25">
        <f t="shared" si="0"/>
        <v>50</v>
      </c>
      <c r="B66" s="58"/>
      <c r="C66" s="23" t="s">
        <v>89</v>
      </c>
      <c r="D66" s="48">
        <f>'Tab C - A&amp;G'!R22</f>
        <v>8131.3119202257094</v>
      </c>
      <c r="E66" s="24"/>
      <c r="F66" s="24"/>
      <c r="G66" s="46">
        <f t="shared" si="3"/>
        <v>8131.3119202257094</v>
      </c>
      <c r="I66" s="47" t="s">
        <v>263</v>
      </c>
    </row>
    <row r="67" spans="1:12" ht="13" x14ac:dyDescent="0.3">
      <c r="A67" s="25">
        <f t="shared" si="0"/>
        <v>51</v>
      </c>
      <c r="C67" s="23" t="s">
        <v>90</v>
      </c>
      <c r="D67" s="48">
        <f>'Tab C - A&amp;G'!R23</f>
        <v>20302.922212279955</v>
      </c>
      <c r="E67" s="24"/>
      <c r="F67" s="24"/>
      <c r="G67" s="46">
        <f t="shared" si="3"/>
        <v>20302.922212279955</v>
      </c>
      <c r="I67" s="47" t="s">
        <v>264</v>
      </c>
    </row>
    <row r="68" spans="1:12" ht="13" x14ac:dyDescent="0.3">
      <c r="A68" s="25">
        <f t="shared" si="0"/>
        <v>52</v>
      </c>
      <c r="C68" s="51" t="s">
        <v>74</v>
      </c>
      <c r="D68" s="52"/>
      <c r="E68" s="53"/>
      <c r="F68" s="53"/>
      <c r="G68" s="59"/>
      <c r="I68" s="55"/>
    </row>
    <row r="69" spans="1:12" ht="13" x14ac:dyDescent="0.3">
      <c r="A69" s="25">
        <f t="shared" si="0"/>
        <v>53</v>
      </c>
      <c r="C69" s="56" t="s">
        <v>91</v>
      </c>
      <c r="D69" s="47">
        <f>SUM(D54:D67)</f>
        <v>1472692.8952481828</v>
      </c>
      <c r="E69" s="47">
        <f t="shared" ref="E69:F69" si="4">SUM(E54:E67)</f>
        <v>0</v>
      </c>
      <c r="F69" s="47">
        <f t="shared" si="4"/>
        <v>0</v>
      </c>
      <c r="G69" s="46">
        <f t="shared" si="3"/>
        <v>1472692.8952481828</v>
      </c>
      <c r="J69" s="119"/>
      <c r="K69" s="109"/>
      <c r="L69" s="109"/>
    </row>
    <row r="70" spans="1:12" ht="13" x14ac:dyDescent="0.3">
      <c r="A70" s="25"/>
      <c r="C70" s="56"/>
      <c r="D70" s="47"/>
      <c r="E70" s="47"/>
      <c r="F70" s="47"/>
      <c r="G70" s="46"/>
    </row>
    <row r="71" spans="1:12" ht="13" x14ac:dyDescent="0.3">
      <c r="A71" s="25"/>
      <c r="C71" s="56"/>
      <c r="D71" s="38" t="s">
        <v>15</v>
      </c>
      <c r="E71" s="38" t="s">
        <v>16</v>
      </c>
      <c r="F71" s="38" t="s">
        <v>17</v>
      </c>
      <c r="G71" s="38" t="s">
        <v>18</v>
      </c>
    </row>
    <row r="72" spans="1:12" ht="13" x14ac:dyDescent="0.3">
      <c r="A72" s="25"/>
      <c r="C72" s="56"/>
      <c r="D72" s="39" t="s">
        <v>37</v>
      </c>
      <c r="E72" s="39" t="s">
        <v>38</v>
      </c>
      <c r="F72" s="39" t="s">
        <v>39</v>
      </c>
      <c r="G72" s="39" t="s">
        <v>40</v>
      </c>
    </row>
    <row r="73" spans="1:12" ht="13" x14ac:dyDescent="0.3">
      <c r="A73" s="25"/>
      <c r="D73" s="39" t="s">
        <v>1</v>
      </c>
      <c r="E73" s="39" t="s">
        <v>1</v>
      </c>
      <c r="F73" s="39" t="s">
        <v>1</v>
      </c>
      <c r="G73" s="39" t="s">
        <v>1</v>
      </c>
    </row>
    <row r="74" spans="1:12" ht="13" x14ac:dyDescent="0.3">
      <c r="A74" s="10" t="s">
        <v>2</v>
      </c>
      <c r="B74" s="42" t="s">
        <v>92</v>
      </c>
      <c r="D74" s="43" t="s">
        <v>42</v>
      </c>
      <c r="E74" s="43" t="s">
        <v>42</v>
      </c>
      <c r="F74" s="43" t="s">
        <v>42</v>
      </c>
      <c r="G74" s="43" t="s">
        <v>42</v>
      </c>
      <c r="I74" s="44" t="s">
        <v>0</v>
      </c>
    </row>
    <row r="75" spans="1:12" ht="13" x14ac:dyDescent="0.3">
      <c r="A75" s="25">
        <f>A69+1</f>
        <v>54</v>
      </c>
      <c r="C75" s="23" t="s">
        <v>93</v>
      </c>
      <c r="D75" s="60">
        <f>'Tab D - Property Tax'!K9</f>
        <v>3042788.7395365257</v>
      </c>
      <c r="E75" s="24"/>
      <c r="F75" s="24"/>
      <c r="G75" s="61">
        <f>SUM(D75:F75)</f>
        <v>3042788.7395365257</v>
      </c>
      <c r="I75" s="47" t="s">
        <v>229</v>
      </c>
      <c r="J75" s="119"/>
      <c r="K75" s="109"/>
      <c r="L75" s="109"/>
    </row>
    <row r="76" spans="1:12" ht="13" x14ac:dyDescent="0.3">
      <c r="A76" s="25">
        <f>A75+1</f>
        <v>55</v>
      </c>
      <c r="C76" s="56" t="s">
        <v>94</v>
      </c>
      <c r="D76" s="47">
        <f>SUM(D75)</f>
        <v>3042788.7395365257</v>
      </c>
      <c r="E76" s="47">
        <f>SUM(E75)</f>
        <v>0</v>
      </c>
      <c r="F76" s="47">
        <f>SUM(F75)</f>
        <v>0</v>
      </c>
      <c r="G76" s="46">
        <f t="shared" ref="G76" si="5">SUM(D76:F76)</f>
        <v>3042788.7395365257</v>
      </c>
    </row>
    <row r="77" spans="1:12" ht="13" x14ac:dyDescent="0.3">
      <c r="A77" s="25"/>
    </row>
    <row r="78" spans="1:12" ht="13" x14ac:dyDescent="0.3">
      <c r="A78" s="25"/>
    </row>
    <row r="79" spans="1:12" ht="13" x14ac:dyDescent="0.3">
      <c r="A79" s="25"/>
      <c r="D79" s="38" t="s">
        <v>15</v>
      </c>
      <c r="E79" s="38" t="s">
        <v>16</v>
      </c>
      <c r="F79" s="38" t="s">
        <v>17</v>
      </c>
      <c r="G79" s="38" t="s">
        <v>18</v>
      </c>
    </row>
    <row r="80" spans="1:12" ht="13" x14ac:dyDescent="0.3">
      <c r="A80" s="25"/>
      <c r="D80" s="39" t="s">
        <v>37</v>
      </c>
      <c r="E80" s="39" t="s">
        <v>38</v>
      </c>
      <c r="F80" s="39" t="s">
        <v>39</v>
      </c>
      <c r="G80" s="39" t="s">
        <v>40</v>
      </c>
    </row>
    <row r="81" spans="1:12" ht="13" x14ac:dyDescent="0.3">
      <c r="D81" s="39" t="s">
        <v>1</v>
      </c>
      <c r="E81" s="39" t="s">
        <v>1</v>
      </c>
      <c r="F81" s="39" t="s">
        <v>1</v>
      </c>
      <c r="G81" s="39" t="s">
        <v>1</v>
      </c>
    </row>
    <row r="82" spans="1:12" ht="13" x14ac:dyDescent="0.3">
      <c r="A82" s="10" t="s">
        <v>2</v>
      </c>
      <c r="B82" s="42" t="s">
        <v>95</v>
      </c>
      <c r="D82" s="43" t="s">
        <v>42</v>
      </c>
      <c r="E82" s="43" t="s">
        <v>42</v>
      </c>
      <c r="F82" s="43" t="s">
        <v>42</v>
      </c>
      <c r="G82" s="43" t="s">
        <v>42</v>
      </c>
      <c r="I82" s="44" t="s">
        <v>0</v>
      </c>
    </row>
    <row r="83" spans="1:12" ht="13" x14ac:dyDescent="0.3">
      <c r="A83" s="25">
        <f>A76+1</f>
        <v>56</v>
      </c>
      <c r="C83" s="62" t="s">
        <v>96</v>
      </c>
      <c r="D83" s="48">
        <f>'Tab E - Payroll Taxes'!O7</f>
        <v>31747.448926062483</v>
      </c>
      <c r="E83" s="24"/>
      <c r="F83" s="24"/>
      <c r="G83" s="46">
        <f>SUM(D83:F83)</f>
        <v>31747.448926062483</v>
      </c>
      <c r="I83" s="47" t="s">
        <v>208</v>
      </c>
      <c r="K83" s="63"/>
    </row>
    <row r="84" spans="1:12" ht="13" x14ac:dyDescent="0.3">
      <c r="A84" s="25">
        <f t="shared" ref="A84:A90" si="6">A83+1</f>
        <v>57</v>
      </c>
      <c r="C84" s="62" t="s">
        <v>97</v>
      </c>
      <c r="D84" s="48">
        <f>'Tab E - Payroll Taxes'!O8</f>
        <v>104.59135705543353</v>
      </c>
      <c r="E84" s="24"/>
      <c r="F84" s="24"/>
      <c r="G84" s="46">
        <f t="shared" ref="G84:G89" si="7">SUM(D84:F84)</f>
        <v>104.59135705543353</v>
      </c>
      <c r="I84" s="47" t="s">
        <v>209</v>
      </c>
      <c r="K84" s="63"/>
    </row>
    <row r="85" spans="1:12" ht="13" x14ac:dyDescent="0.3">
      <c r="A85" s="25">
        <f t="shared" si="6"/>
        <v>58</v>
      </c>
      <c r="C85" s="62" t="s">
        <v>98</v>
      </c>
      <c r="D85" s="48">
        <f>'Tab E - Payroll Taxes'!O9</f>
        <v>24.524412657159779</v>
      </c>
      <c r="E85" s="24"/>
      <c r="F85" s="24"/>
      <c r="G85" s="46">
        <f t="shared" si="7"/>
        <v>24.524412657159779</v>
      </c>
      <c r="I85" s="47" t="s">
        <v>210</v>
      </c>
      <c r="K85" s="63"/>
    </row>
    <row r="86" spans="1:12" ht="13" x14ac:dyDescent="0.3">
      <c r="A86" s="25">
        <f t="shared" si="6"/>
        <v>59</v>
      </c>
      <c r="C86" s="62" t="s">
        <v>99</v>
      </c>
      <c r="D86" s="48">
        <f>'Tab E - Payroll Taxes'!O10</f>
        <v>824.71729235203463</v>
      </c>
      <c r="E86" s="24"/>
      <c r="F86" s="24"/>
      <c r="G86" s="46">
        <f t="shared" si="7"/>
        <v>824.71729235203463</v>
      </c>
      <c r="I86" s="47" t="s">
        <v>211</v>
      </c>
      <c r="K86" s="64"/>
    </row>
    <row r="87" spans="1:12" ht="13" x14ac:dyDescent="0.3">
      <c r="A87" s="25">
        <f t="shared" si="6"/>
        <v>60</v>
      </c>
      <c r="C87" s="62" t="s">
        <v>100</v>
      </c>
      <c r="D87" s="48">
        <f>'Tab E - Payroll Taxes'!O11</f>
        <v>218.6601273834126</v>
      </c>
      <c r="E87" s="24"/>
      <c r="F87" s="24"/>
      <c r="G87" s="46">
        <f t="shared" si="7"/>
        <v>218.6601273834126</v>
      </c>
      <c r="I87" s="47" t="s">
        <v>212</v>
      </c>
      <c r="K87" s="64"/>
    </row>
    <row r="88" spans="1:12" ht="13" x14ac:dyDescent="0.3">
      <c r="A88" s="25">
        <f t="shared" si="6"/>
        <v>61</v>
      </c>
      <c r="C88" s="62" t="s">
        <v>101</v>
      </c>
      <c r="D88" s="48">
        <f>'Tab E - Payroll Taxes'!O12</f>
        <v>652.95523493162921</v>
      </c>
      <c r="E88" s="24"/>
      <c r="F88" s="24"/>
      <c r="G88" s="46">
        <f t="shared" si="7"/>
        <v>652.95523493162921</v>
      </c>
      <c r="I88" s="47" t="s">
        <v>213</v>
      </c>
      <c r="K88" s="64"/>
    </row>
    <row r="89" spans="1:12" ht="13" x14ac:dyDescent="0.3">
      <c r="A89" s="25">
        <f t="shared" si="6"/>
        <v>62</v>
      </c>
      <c r="C89" s="62" t="s">
        <v>102</v>
      </c>
      <c r="D89" s="48">
        <f>'Tab E - Payroll Taxes'!O13</f>
        <v>5.7726439390712363</v>
      </c>
      <c r="E89" s="24"/>
      <c r="F89" s="24"/>
      <c r="G89" s="61">
        <f t="shared" si="7"/>
        <v>5.7726439390712363</v>
      </c>
      <c r="I89" s="47" t="s">
        <v>214</v>
      </c>
      <c r="K89" s="64"/>
    </row>
    <row r="90" spans="1:12" ht="13" x14ac:dyDescent="0.3">
      <c r="A90" s="25">
        <f t="shared" si="6"/>
        <v>63</v>
      </c>
      <c r="C90" s="56" t="s">
        <v>103</v>
      </c>
      <c r="D90" s="47">
        <f>SUM(D83:D89)</f>
        <v>33578.66999438122</v>
      </c>
      <c r="E90" s="47">
        <f t="shared" ref="E90:F90" si="8">SUM(E83:E89)</f>
        <v>0</v>
      </c>
      <c r="F90" s="47">
        <f t="shared" si="8"/>
        <v>0</v>
      </c>
      <c r="G90" s="46">
        <f>SUM(D90:F90)</f>
        <v>33578.66999438122</v>
      </c>
      <c r="J90" s="118"/>
      <c r="K90" s="109"/>
      <c r="L90" s="109"/>
    </row>
    <row r="91" spans="1:12" ht="13" x14ac:dyDescent="0.3">
      <c r="A91" s="25"/>
      <c r="C91" s="56"/>
      <c r="D91" s="47"/>
      <c r="E91" s="47"/>
      <c r="F91" s="47"/>
      <c r="G91" s="46"/>
    </row>
    <row r="92" spans="1:12" ht="13" x14ac:dyDescent="0.3">
      <c r="A92" s="25"/>
      <c r="C92" s="56"/>
      <c r="D92" s="38" t="s">
        <v>15</v>
      </c>
      <c r="E92" s="38" t="s">
        <v>16</v>
      </c>
      <c r="F92" s="38" t="s">
        <v>17</v>
      </c>
      <c r="G92" s="38" t="s">
        <v>18</v>
      </c>
    </row>
    <row r="93" spans="1:12" ht="13" x14ac:dyDescent="0.3">
      <c r="A93" s="25"/>
      <c r="C93" s="22"/>
      <c r="D93" s="39" t="s">
        <v>37</v>
      </c>
      <c r="E93" s="39" t="s">
        <v>38</v>
      </c>
      <c r="F93" s="39" t="s">
        <v>39</v>
      </c>
      <c r="G93" s="39" t="s">
        <v>40</v>
      </c>
    </row>
    <row r="94" spans="1:12" ht="13" x14ac:dyDescent="0.3">
      <c r="A94" s="25"/>
      <c r="D94" s="39" t="s">
        <v>1</v>
      </c>
      <c r="E94" s="39" t="s">
        <v>1</v>
      </c>
      <c r="F94" s="39" t="s">
        <v>1</v>
      </c>
      <c r="G94" s="39" t="s">
        <v>1</v>
      </c>
    </row>
    <row r="95" spans="1:12" ht="13" x14ac:dyDescent="0.3">
      <c r="A95" s="10" t="s">
        <v>2</v>
      </c>
      <c r="B95" s="42" t="s">
        <v>104</v>
      </c>
      <c r="D95" s="43" t="s">
        <v>42</v>
      </c>
      <c r="E95" s="43" t="s">
        <v>42</v>
      </c>
      <c r="F95" s="43" t="s">
        <v>42</v>
      </c>
      <c r="G95" s="43" t="s">
        <v>42</v>
      </c>
      <c r="I95" s="44" t="s">
        <v>0</v>
      </c>
    </row>
    <row r="96" spans="1:12" ht="13" x14ac:dyDescent="0.3">
      <c r="A96" s="25">
        <f>A90+1</f>
        <v>64</v>
      </c>
      <c r="C96" s="23" t="s">
        <v>105</v>
      </c>
      <c r="D96" s="48">
        <f>'Tab A - True-Up Allocation'!K35</f>
        <v>862524.07508744113</v>
      </c>
      <c r="E96" s="24"/>
      <c r="F96" s="24"/>
      <c r="G96" s="46">
        <f>SUM(D96:F96)</f>
        <v>862524.07508744113</v>
      </c>
      <c r="H96" s="65"/>
      <c r="I96" s="47" t="s">
        <v>242</v>
      </c>
    </row>
    <row r="97" spans="1:13" ht="13" x14ac:dyDescent="0.3">
      <c r="A97" s="25">
        <f t="shared" ref="A97:A112" si="9">A96+1</f>
        <v>65</v>
      </c>
      <c r="C97" s="23" t="s">
        <v>10</v>
      </c>
      <c r="D97" s="48">
        <f>'Tab A - True-Up Allocation'!K38</f>
        <v>64347.211219867211</v>
      </c>
      <c r="E97" s="24"/>
      <c r="F97" s="24"/>
      <c r="G97" s="46">
        <f t="shared" ref="G97:G100" si="10">SUM(D97:F97)</f>
        <v>64347.211219867211</v>
      </c>
      <c r="H97" s="65"/>
      <c r="I97" s="47" t="s">
        <v>243</v>
      </c>
    </row>
    <row r="98" spans="1:13" ht="13" x14ac:dyDescent="0.3">
      <c r="A98" s="25">
        <f t="shared" si="9"/>
        <v>66</v>
      </c>
      <c r="C98" s="23" t="s">
        <v>106</v>
      </c>
      <c r="D98" s="48">
        <f>'Tab A - True-Up Allocation'!K21</f>
        <v>-71319.490285822918</v>
      </c>
      <c r="E98" s="24"/>
      <c r="F98" s="24"/>
      <c r="G98" s="46">
        <f t="shared" si="10"/>
        <v>-71319.490285822918</v>
      </c>
      <c r="H98" s="65"/>
      <c r="I98" s="47" t="s">
        <v>234</v>
      </c>
    </row>
    <row r="99" spans="1:13" ht="13" x14ac:dyDescent="0.3">
      <c r="A99" s="25">
        <f t="shared" si="9"/>
        <v>67</v>
      </c>
      <c r="C99" s="23" t="s">
        <v>107</v>
      </c>
      <c r="D99" s="48"/>
      <c r="E99" s="24"/>
      <c r="F99" s="24"/>
      <c r="G99" s="46">
        <f t="shared" si="10"/>
        <v>0</v>
      </c>
      <c r="H99" s="65"/>
      <c r="I99" s="49"/>
    </row>
    <row r="100" spans="1:13" ht="13" x14ac:dyDescent="0.3">
      <c r="A100" s="25">
        <f t="shared" si="9"/>
        <v>68</v>
      </c>
      <c r="C100" s="51" t="s">
        <v>74</v>
      </c>
      <c r="D100" s="66"/>
      <c r="E100" s="53"/>
      <c r="F100" s="53"/>
      <c r="G100" s="61">
        <f t="shared" si="10"/>
        <v>0</v>
      </c>
      <c r="H100" s="65"/>
      <c r="I100" s="49"/>
    </row>
    <row r="101" spans="1:13" ht="13" x14ac:dyDescent="0.3">
      <c r="A101" s="25">
        <f t="shared" si="9"/>
        <v>69</v>
      </c>
      <c r="C101" s="56" t="s">
        <v>108</v>
      </c>
      <c r="D101" s="47">
        <f>SUM(D96:D100)</f>
        <v>855551.79602148547</v>
      </c>
      <c r="E101" s="47">
        <f t="shared" ref="E101:F101" si="11">SUM(E96:E100)</f>
        <v>0</v>
      </c>
      <c r="F101" s="47">
        <f t="shared" si="11"/>
        <v>0</v>
      </c>
      <c r="G101" s="46">
        <f>SUM(D101:F101)</f>
        <v>855551.79602148547</v>
      </c>
    </row>
    <row r="102" spans="1:13" ht="13" x14ac:dyDescent="0.3">
      <c r="A102" s="25">
        <f t="shared" si="9"/>
        <v>70</v>
      </c>
      <c r="C102" s="56"/>
      <c r="D102" s="47"/>
      <c r="E102" s="47"/>
      <c r="F102" s="47"/>
      <c r="G102" s="46"/>
    </row>
    <row r="103" spans="1:13" ht="13" x14ac:dyDescent="0.3">
      <c r="A103" s="25">
        <f t="shared" si="9"/>
        <v>71</v>
      </c>
      <c r="D103" s="38" t="s">
        <v>15</v>
      </c>
      <c r="E103" s="38" t="s">
        <v>16</v>
      </c>
      <c r="F103" s="38" t="s">
        <v>17</v>
      </c>
    </row>
    <row r="104" spans="1:13" ht="13" x14ac:dyDescent="0.3">
      <c r="A104" s="25">
        <f t="shared" si="9"/>
        <v>72</v>
      </c>
      <c r="D104" s="39" t="s">
        <v>37</v>
      </c>
      <c r="E104" s="39" t="s">
        <v>38</v>
      </c>
      <c r="F104" s="39" t="s">
        <v>39</v>
      </c>
    </row>
    <row r="105" spans="1:13" ht="13" x14ac:dyDescent="0.3">
      <c r="A105" s="25">
        <f t="shared" si="9"/>
        <v>73</v>
      </c>
      <c r="D105" s="39" t="s">
        <v>1</v>
      </c>
      <c r="E105" s="39" t="s">
        <v>1</v>
      </c>
      <c r="F105" s="39" t="s">
        <v>1</v>
      </c>
    </row>
    <row r="106" spans="1:13" ht="13" x14ac:dyDescent="0.3">
      <c r="A106" s="25">
        <f t="shared" si="9"/>
        <v>74</v>
      </c>
      <c r="D106" s="43" t="s">
        <v>42</v>
      </c>
      <c r="E106" s="43" t="s">
        <v>42</v>
      </c>
      <c r="F106" s="43" t="s">
        <v>42</v>
      </c>
    </row>
    <row r="107" spans="1:13" ht="13" x14ac:dyDescent="0.3">
      <c r="A107" s="25">
        <f t="shared" si="9"/>
        <v>75</v>
      </c>
      <c r="C107" s="56" t="s">
        <v>109</v>
      </c>
      <c r="D107" s="47">
        <f>D48+D69+D76+D90+D101</f>
        <v>7590394.4592766017</v>
      </c>
      <c r="E107" s="47">
        <f>E48+E69+E76+E90+E101</f>
        <v>0</v>
      </c>
      <c r="F107" s="47">
        <f>F48+F69+F76+F90+F101</f>
        <v>0</v>
      </c>
      <c r="J107" s="118"/>
      <c r="K107" s="109"/>
      <c r="L107" s="118"/>
      <c r="M107" s="109"/>
    </row>
    <row r="108" spans="1:13" ht="13" x14ac:dyDescent="0.3">
      <c r="A108" s="25">
        <f t="shared" si="9"/>
        <v>76</v>
      </c>
    </row>
    <row r="109" spans="1:13" ht="13" x14ac:dyDescent="0.3">
      <c r="A109" s="25">
        <f t="shared" si="9"/>
        <v>77</v>
      </c>
    </row>
    <row r="110" spans="1:13" ht="13" x14ac:dyDescent="0.3">
      <c r="A110" s="25">
        <f t="shared" si="9"/>
        <v>78</v>
      </c>
      <c r="D110" s="39" t="s">
        <v>1</v>
      </c>
    </row>
    <row r="111" spans="1:13" ht="13" x14ac:dyDescent="0.3">
      <c r="A111" s="25">
        <f t="shared" si="9"/>
        <v>79</v>
      </c>
      <c r="D111" s="43" t="s">
        <v>42</v>
      </c>
      <c r="E111" s="10" t="s">
        <v>110</v>
      </c>
    </row>
    <row r="112" spans="1:13" ht="13" x14ac:dyDescent="0.3">
      <c r="A112" s="25">
        <f t="shared" si="9"/>
        <v>80</v>
      </c>
      <c r="C112" s="56" t="s">
        <v>111</v>
      </c>
      <c r="D112" s="47">
        <f>D107+E107+F107</f>
        <v>7590394.4592766017</v>
      </c>
      <c r="E112" s="64" t="s">
        <v>112</v>
      </c>
    </row>
    <row r="113" spans="1:7" ht="13" x14ac:dyDescent="0.3">
      <c r="A113" s="25"/>
      <c r="C113" s="56"/>
      <c r="D113" s="47"/>
      <c r="E113" s="64"/>
    </row>
    <row r="114" spans="1:7" ht="14.5" x14ac:dyDescent="0.35">
      <c r="A114" s="25"/>
      <c r="B114" s="67" t="s">
        <v>113</v>
      </c>
      <c r="C114" s="56"/>
      <c r="D114" s="47"/>
      <c r="E114" s="68"/>
      <c r="F114" s="69"/>
      <c r="G114" s="69"/>
    </row>
    <row r="115" spans="1:7" ht="14.5" x14ac:dyDescent="0.35">
      <c r="A115" s="25"/>
      <c r="B115" s="23" t="s">
        <v>114</v>
      </c>
      <c r="C115" s="56"/>
      <c r="D115" s="47"/>
      <c r="E115" s="68"/>
      <c r="F115" s="69"/>
      <c r="G115" s="69"/>
    </row>
    <row r="116" spans="1:7" ht="14.5" x14ac:dyDescent="0.35">
      <c r="A116" s="25"/>
      <c r="B116" s="64" t="s">
        <v>115</v>
      </c>
      <c r="E116" s="69"/>
      <c r="F116" s="69"/>
      <c r="G116" s="69"/>
    </row>
    <row r="117" spans="1:7" ht="13" x14ac:dyDescent="0.3">
      <c r="A117" s="25"/>
      <c r="B117" s="67" t="s">
        <v>19</v>
      </c>
    </row>
    <row r="118" spans="1:7" ht="13" x14ac:dyDescent="0.3">
      <c r="A118" s="25"/>
      <c r="B118" s="64" t="s">
        <v>116</v>
      </c>
    </row>
    <row r="119" spans="1:7" ht="13" x14ac:dyDescent="0.3">
      <c r="A119" s="25"/>
      <c r="B119" s="63" t="s">
        <v>117</v>
      </c>
    </row>
    <row r="120" spans="1:7" ht="13" x14ac:dyDescent="0.3">
      <c r="A120" s="25"/>
      <c r="B120" s="64" t="s">
        <v>118</v>
      </c>
    </row>
    <row r="121" spans="1:7" ht="13" x14ac:dyDescent="0.3">
      <c r="A121" s="25"/>
      <c r="B121" s="63" t="s">
        <v>119</v>
      </c>
    </row>
    <row r="122" spans="1:7" ht="13" x14ac:dyDescent="0.3">
      <c r="A122" s="25"/>
      <c r="B122" s="64" t="s">
        <v>120</v>
      </c>
    </row>
    <row r="123" spans="1:7" ht="13" x14ac:dyDescent="0.3">
      <c r="A123" s="25"/>
      <c r="B123" s="63" t="s">
        <v>121</v>
      </c>
    </row>
    <row r="124" spans="1:7" ht="13" x14ac:dyDescent="0.3">
      <c r="A124" s="70"/>
      <c r="B124" s="71"/>
    </row>
    <row r="125" spans="1:7" ht="13" x14ac:dyDescent="0.3">
      <c r="A125" s="70"/>
    </row>
    <row r="126" spans="1:7" ht="13" x14ac:dyDescent="0.3">
      <c r="A126" s="70"/>
      <c r="B126" s="72"/>
      <c r="C126" s="73"/>
      <c r="D126" s="73"/>
    </row>
    <row r="127" spans="1:7" x14ac:dyDescent="0.25">
      <c r="B127" s="74"/>
      <c r="C127" s="72"/>
      <c r="D127" s="72"/>
    </row>
    <row r="128" spans="1:7" x14ac:dyDescent="0.25">
      <c r="B128" s="74"/>
      <c r="D128" s="72"/>
    </row>
    <row r="129" spans="2:4" x14ac:dyDescent="0.25">
      <c r="B129" s="74"/>
      <c r="D129" s="72"/>
    </row>
    <row r="130" spans="2:4" x14ac:dyDescent="0.25">
      <c r="B130" s="74"/>
      <c r="D130" s="72"/>
    </row>
    <row r="131" spans="2:4" x14ac:dyDescent="0.25">
      <c r="B131" s="74"/>
      <c r="D131" s="72"/>
    </row>
  </sheetData>
  <phoneticPr fontId="13" type="noConversion"/>
  <pageMargins left="0.7" right="0.7" top="0.75" bottom="0.75" header="0.3" footer="0.3"/>
  <pageSetup scale="41" orientation="portrait" r:id="rId1"/>
  <headerFooter>
    <oddHeader>&amp;RTO2026 Annual Update 
Attachment 4
WP- Schedule 35 Other Formula Revenue
Page &amp;P of &amp;N</oddHeader>
    <oddFooter>&amp;R&amp;A</oddFooter>
  </headerFooter>
  <rowBreaks count="1" manualBreakCount="1"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8084B-9687-49A6-8D00-3C9DD3004C7D}">
  <sheetPr>
    <pageSetUpPr fitToPage="1"/>
  </sheetPr>
  <dimension ref="A1:Q52"/>
  <sheetViews>
    <sheetView zoomScaleNormal="100" workbookViewId="0"/>
  </sheetViews>
  <sheetFormatPr defaultRowHeight="14.5" x14ac:dyDescent="0.35"/>
  <cols>
    <col min="3" max="3" width="25" customWidth="1"/>
    <col min="4" max="4" width="3.26953125" customWidth="1"/>
    <col min="5" max="5" width="14" bestFit="1" customWidth="1"/>
    <col min="6" max="6" width="3.453125" customWidth="1"/>
    <col min="7" max="7" width="16.1796875" customWidth="1"/>
    <col min="8" max="8" width="3.453125" customWidth="1"/>
    <col min="9" max="9" width="15" bestFit="1" customWidth="1"/>
    <col min="10" max="10" width="3.453125" customWidth="1"/>
    <col min="11" max="11" width="15" bestFit="1" customWidth="1"/>
    <col min="12" max="12" width="3.453125" customWidth="1"/>
    <col min="13" max="13" width="16.54296875" bestFit="1" customWidth="1"/>
    <col min="14" max="14" width="3.453125" customWidth="1"/>
  </cols>
  <sheetData>
    <row r="1" spans="1:14" x14ac:dyDescent="0.35">
      <c r="A1" s="20" t="s">
        <v>230</v>
      </c>
    </row>
    <row r="2" spans="1:14" x14ac:dyDescent="0.35">
      <c r="A2" s="20"/>
    </row>
    <row r="3" spans="1:14" x14ac:dyDescent="0.35">
      <c r="A3" s="20"/>
      <c r="B3" s="102" t="s">
        <v>247</v>
      </c>
      <c r="C3" s="126"/>
      <c r="D3" s="126"/>
      <c r="E3" s="126"/>
      <c r="F3" s="126"/>
    </row>
    <row r="4" spans="1:14" x14ac:dyDescent="0.35">
      <c r="A4" s="20"/>
      <c r="B4" s="102"/>
      <c r="C4" s="132"/>
      <c r="D4" s="126"/>
      <c r="E4" s="131"/>
      <c r="F4" s="126"/>
    </row>
    <row r="5" spans="1:14" x14ac:dyDescent="0.35">
      <c r="A5" s="20"/>
    </row>
    <row r="6" spans="1:14" x14ac:dyDescent="0.35">
      <c r="C6" s="11" t="s">
        <v>15</v>
      </c>
      <c r="D6" s="6"/>
      <c r="E6" s="11" t="s">
        <v>16</v>
      </c>
      <c r="F6" s="6"/>
      <c r="G6" s="11" t="s">
        <v>17</v>
      </c>
      <c r="H6" s="6"/>
      <c r="I6" s="11" t="s">
        <v>18</v>
      </c>
      <c r="J6" s="6"/>
      <c r="K6" s="11" t="s">
        <v>26</v>
      </c>
      <c r="L6" s="6"/>
      <c r="N6" s="6"/>
    </row>
    <row r="7" spans="1:14" x14ac:dyDescent="0.35">
      <c r="C7" s="11"/>
      <c r="D7" s="6"/>
      <c r="E7" s="6" t="s">
        <v>231</v>
      </c>
      <c r="F7" s="6"/>
      <c r="G7" s="6" t="s">
        <v>225</v>
      </c>
      <c r="H7" s="6"/>
      <c r="I7" s="6" t="s">
        <v>226</v>
      </c>
      <c r="J7" s="6"/>
      <c r="K7" s="131" t="s">
        <v>224</v>
      </c>
      <c r="N7" s="6"/>
    </row>
    <row r="8" spans="1:14" x14ac:dyDescent="0.35">
      <c r="E8" s="15" t="s">
        <v>21</v>
      </c>
      <c r="F8" s="15"/>
      <c r="G8" s="15" t="s">
        <v>22</v>
      </c>
      <c r="H8" s="15"/>
      <c r="I8" s="15" t="s">
        <v>23</v>
      </c>
      <c r="J8" s="15"/>
      <c r="K8" s="14" t="s">
        <v>250</v>
      </c>
    </row>
    <row r="9" spans="1:14" x14ac:dyDescent="0.35">
      <c r="B9" s="12" t="s">
        <v>2</v>
      </c>
      <c r="C9" s="13" t="s">
        <v>3</v>
      </c>
      <c r="I9" s="10"/>
    </row>
    <row r="10" spans="1:14" x14ac:dyDescent="0.35">
      <c r="B10">
        <v>1</v>
      </c>
      <c r="C10" t="s">
        <v>4</v>
      </c>
      <c r="E10" s="3">
        <v>1466703.7361681755</v>
      </c>
      <c r="G10" s="3">
        <v>0</v>
      </c>
      <c r="I10" s="3">
        <v>1460615.5451225876</v>
      </c>
      <c r="K10" s="9">
        <f t="shared" ref="K10:K16" si="0">E10-G10-I10</f>
        <v>6088.1910455878824</v>
      </c>
    </row>
    <row r="11" spans="1:14" x14ac:dyDescent="0.35">
      <c r="B11">
        <v>2</v>
      </c>
      <c r="C11" t="s">
        <v>5</v>
      </c>
      <c r="E11" s="3">
        <v>1083124.5872036708</v>
      </c>
      <c r="G11" s="3">
        <v>1453258.7431450782</v>
      </c>
      <c r="I11" s="19"/>
      <c r="K11" s="9">
        <f t="shared" si="0"/>
        <v>-370134.15594140743</v>
      </c>
    </row>
    <row r="12" spans="1:14" x14ac:dyDescent="0.35">
      <c r="B12">
        <v>3</v>
      </c>
      <c r="C12" t="s">
        <v>6</v>
      </c>
      <c r="E12" s="3">
        <v>1448162.397405297</v>
      </c>
      <c r="G12" s="3">
        <v>1596596.992501711</v>
      </c>
      <c r="I12" s="16">
        <v>-849791.41382438818</v>
      </c>
      <c r="K12" s="9">
        <f t="shared" si="0"/>
        <v>701356.8187279742</v>
      </c>
    </row>
    <row r="13" spans="1:14" x14ac:dyDescent="0.35">
      <c r="B13">
        <v>4</v>
      </c>
      <c r="C13" t="s">
        <v>7</v>
      </c>
      <c r="E13" s="3">
        <v>744356.66936205339</v>
      </c>
      <c r="G13" s="3">
        <v>626189.26363666565</v>
      </c>
      <c r="I13" s="19"/>
      <c r="K13" s="9">
        <f t="shared" si="0"/>
        <v>118167.40572538774</v>
      </c>
    </row>
    <row r="14" spans="1:14" x14ac:dyDescent="0.35">
      <c r="B14">
        <v>5</v>
      </c>
      <c r="C14" t="s">
        <v>8</v>
      </c>
      <c r="E14" s="3">
        <v>40514.437151258506</v>
      </c>
      <c r="G14" s="3">
        <v>47450.210005618756</v>
      </c>
      <c r="I14" s="19"/>
      <c r="K14" s="9">
        <f t="shared" si="0"/>
        <v>-6935.7728543602498</v>
      </c>
    </row>
    <row r="15" spans="1:14" x14ac:dyDescent="0.35">
      <c r="B15">
        <v>6</v>
      </c>
      <c r="C15" t="s">
        <v>9</v>
      </c>
      <c r="E15" s="3">
        <v>3680929.5798455086</v>
      </c>
      <c r="G15" s="3">
        <v>0</v>
      </c>
      <c r="I15" s="3">
        <v>8000000</v>
      </c>
      <c r="K15" s="9">
        <f t="shared" si="0"/>
        <v>-4319070.4201544914</v>
      </c>
    </row>
    <row r="16" spans="1:14" x14ac:dyDescent="0.35">
      <c r="B16">
        <v>7</v>
      </c>
      <c r="C16" t="s">
        <v>10</v>
      </c>
      <c r="E16" s="5">
        <v>45021.618717394289</v>
      </c>
      <c r="G16" s="5">
        <v>35621.309866973286</v>
      </c>
      <c r="I16" s="5">
        <v>-9925.2836520519195</v>
      </c>
      <c r="K16" s="8">
        <f t="shared" si="0"/>
        <v>19325.592502472922</v>
      </c>
    </row>
    <row r="17" spans="2:17" x14ac:dyDescent="0.35">
      <c r="B17">
        <v>8</v>
      </c>
      <c r="C17" t="s">
        <v>11</v>
      </c>
      <c r="E17" s="17">
        <f>SUM(E10:E16)</f>
        <v>8508813.0258533582</v>
      </c>
      <c r="G17" s="9">
        <f>SUM(G10:G16)</f>
        <v>3759116.5191560462</v>
      </c>
      <c r="I17" s="4">
        <f>SUM(I10:I16)</f>
        <v>8600898.847646147</v>
      </c>
      <c r="K17" s="9">
        <f>SUM(K10:K16)</f>
        <v>-3851202.3409488364</v>
      </c>
    </row>
    <row r="18" spans="2:17" x14ac:dyDescent="0.35">
      <c r="B18">
        <v>9</v>
      </c>
      <c r="C18" t="s">
        <v>12</v>
      </c>
      <c r="E18" s="3">
        <v>65946.407343399813</v>
      </c>
      <c r="G18" s="3">
        <v>34764.685480807035</v>
      </c>
      <c r="I18" s="19"/>
      <c r="K18" s="2">
        <f>E18-G18-I18</f>
        <v>31181.721862592778</v>
      </c>
    </row>
    <row r="19" spans="2:17" x14ac:dyDescent="0.35">
      <c r="B19">
        <v>10</v>
      </c>
      <c r="C19" t="s">
        <v>13</v>
      </c>
      <c r="E19" s="18">
        <f>E17+E18</f>
        <v>8574759.4331967589</v>
      </c>
      <c r="G19" s="2">
        <f>G17+G18</f>
        <v>3793881.2046368532</v>
      </c>
      <c r="I19" s="2">
        <f>I17+I18</f>
        <v>8600898.847646147</v>
      </c>
      <c r="K19" s="2">
        <f>K17+K18</f>
        <v>-3820020.6190862437</v>
      </c>
    </row>
    <row r="20" spans="2:17" x14ac:dyDescent="0.35">
      <c r="E20" s="18"/>
      <c r="G20" s="2"/>
      <c r="I20" s="2"/>
      <c r="K20" s="2"/>
    </row>
    <row r="21" spans="2:17" x14ac:dyDescent="0.35">
      <c r="B21" s="133" t="s">
        <v>232</v>
      </c>
      <c r="C21" s="137" t="s">
        <v>249</v>
      </c>
      <c r="D21" s="126"/>
      <c r="E21" s="18"/>
      <c r="G21" s="2"/>
      <c r="I21" s="2"/>
      <c r="K21" s="136">
        <v>-71319.490285822918</v>
      </c>
    </row>
    <row r="22" spans="2:17" s="123" customFormat="1" x14ac:dyDescent="0.35">
      <c r="B22" s="133" t="s">
        <v>233</v>
      </c>
      <c r="C22" s="126" t="s">
        <v>131</v>
      </c>
      <c r="D22" s="126"/>
      <c r="E22" s="126"/>
      <c r="F22" s="126"/>
      <c r="G22" s="126"/>
      <c r="H22" s="126"/>
      <c r="I22" s="126"/>
      <c r="J22" s="126"/>
      <c r="K22" s="134">
        <f>SUM(K19:K21)</f>
        <v>-3891340.1093720668</v>
      </c>
      <c r="L22" s="126"/>
      <c r="N22" s="126"/>
      <c r="O22" s="126"/>
      <c r="P22" s="126"/>
      <c r="Q22" s="126"/>
    </row>
    <row r="23" spans="2:17" x14ac:dyDescent="0.35">
      <c r="B23" s="126"/>
      <c r="C23" s="126"/>
      <c r="D23" s="126"/>
      <c r="E23" s="126"/>
      <c r="F23" s="126"/>
      <c r="G23" s="126"/>
      <c r="H23" s="126"/>
      <c r="J23" s="127" t="s">
        <v>235</v>
      </c>
      <c r="K23" s="135">
        <v>-3891340.1370890629</v>
      </c>
      <c r="L23" s="126"/>
      <c r="N23" s="126"/>
      <c r="O23" s="126"/>
      <c r="P23" s="126"/>
      <c r="Q23" s="126"/>
    </row>
    <row r="24" spans="2:17" x14ac:dyDescent="0.35"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</row>
    <row r="25" spans="2:17" x14ac:dyDescent="0.35">
      <c r="K25" s="124"/>
      <c r="M25" s="125"/>
    </row>
    <row r="26" spans="2:17" x14ac:dyDescent="0.35">
      <c r="B26" s="102" t="s">
        <v>245</v>
      </c>
    </row>
    <row r="27" spans="2:17" x14ac:dyDescent="0.35">
      <c r="B27" s="102"/>
      <c r="C27" s="123"/>
      <c r="D27" s="123"/>
      <c r="E27" s="123"/>
    </row>
    <row r="28" spans="2:17" x14ac:dyDescent="0.35">
      <c r="C28" s="11" t="s">
        <v>15</v>
      </c>
      <c r="D28" s="6"/>
      <c r="E28" s="11" t="s">
        <v>16</v>
      </c>
      <c r="F28" s="6"/>
      <c r="G28" s="11" t="s">
        <v>17</v>
      </c>
      <c r="H28" s="6"/>
      <c r="I28" s="11" t="s">
        <v>18</v>
      </c>
      <c r="K28" s="11" t="s">
        <v>26</v>
      </c>
      <c r="M28" s="122"/>
    </row>
    <row r="29" spans="2:17" x14ac:dyDescent="0.35">
      <c r="C29" s="11"/>
      <c r="D29" s="6"/>
      <c r="E29" s="11"/>
      <c r="F29" s="6"/>
      <c r="G29" s="14" t="s">
        <v>224</v>
      </c>
      <c r="H29" s="6"/>
      <c r="I29" s="14" t="s">
        <v>244</v>
      </c>
      <c r="K29" s="11"/>
      <c r="M29" s="122"/>
    </row>
    <row r="30" spans="2:17" x14ac:dyDescent="0.35">
      <c r="E30" s="15" t="s">
        <v>21</v>
      </c>
      <c r="F30" s="15"/>
      <c r="G30" s="15" t="s">
        <v>246</v>
      </c>
      <c r="H30" s="15"/>
      <c r="I30" s="15" t="s">
        <v>223</v>
      </c>
      <c r="K30" s="14" t="s">
        <v>239</v>
      </c>
    </row>
    <row r="31" spans="2:17" x14ac:dyDescent="0.35">
      <c r="B31" s="12" t="s">
        <v>2</v>
      </c>
      <c r="C31" s="13" t="s">
        <v>3</v>
      </c>
      <c r="K31" s="10"/>
    </row>
    <row r="32" spans="2:17" x14ac:dyDescent="0.35">
      <c r="B32">
        <v>11</v>
      </c>
      <c r="C32" t="s">
        <v>4</v>
      </c>
      <c r="E32" s="128">
        <f>E10</f>
        <v>1466703.7361681755</v>
      </c>
      <c r="F32" s="126"/>
      <c r="G32" s="129">
        <f t="shared" ref="G32:G38" si="1">K10</f>
        <v>6088.1910455878824</v>
      </c>
      <c r="K32" s="17">
        <f>E32+G32+I32</f>
        <v>1472791.9272137634</v>
      </c>
      <c r="M32" s="123"/>
    </row>
    <row r="33" spans="2:13" x14ac:dyDescent="0.35">
      <c r="B33">
        <v>12</v>
      </c>
      <c r="C33" t="s">
        <v>5</v>
      </c>
      <c r="E33" s="128">
        <f t="shared" ref="E33:E38" si="2">E11</f>
        <v>1083124.5872036708</v>
      </c>
      <c r="F33" s="126"/>
      <c r="G33" s="129">
        <f t="shared" si="1"/>
        <v>-370134.15594140743</v>
      </c>
      <c r="K33" s="17">
        <f t="shared" ref="K33:K38" si="3">E33+G33+I33</f>
        <v>712990.43126226333</v>
      </c>
      <c r="M33" s="123"/>
    </row>
    <row r="34" spans="2:13" x14ac:dyDescent="0.35">
      <c r="B34">
        <v>13</v>
      </c>
      <c r="C34" t="s">
        <v>6</v>
      </c>
      <c r="E34" s="128">
        <f t="shared" si="2"/>
        <v>1448162.397405297</v>
      </c>
      <c r="F34" s="126"/>
      <c r="G34" s="129">
        <f t="shared" si="1"/>
        <v>701356.8187279742</v>
      </c>
      <c r="I34" s="2">
        <f>'Tab C - A&amp;G'!P15</f>
        <v>-773954.45009108039</v>
      </c>
      <c r="K34" s="17">
        <f>E34+G34+I34</f>
        <v>1375564.7660421911</v>
      </c>
      <c r="M34" s="123"/>
    </row>
    <row r="35" spans="2:13" x14ac:dyDescent="0.35">
      <c r="B35">
        <v>14</v>
      </c>
      <c r="C35" t="s">
        <v>7</v>
      </c>
      <c r="E35" s="128">
        <f t="shared" si="2"/>
        <v>744356.66936205339</v>
      </c>
      <c r="F35" s="126"/>
      <c r="G35" s="129">
        <f t="shared" si="1"/>
        <v>118167.40572538774</v>
      </c>
      <c r="I35" s="2"/>
      <c r="K35" s="17">
        <f t="shared" si="3"/>
        <v>862524.07508744113</v>
      </c>
      <c r="M35" s="123"/>
    </row>
    <row r="36" spans="2:13" x14ac:dyDescent="0.35">
      <c r="B36">
        <v>15</v>
      </c>
      <c r="C36" t="s">
        <v>8</v>
      </c>
      <c r="E36" s="128">
        <f t="shared" si="2"/>
        <v>40514.437151258506</v>
      </c>
      <c r="F36" s="126"/>
      <c r="G36" s="129">
        <f t="shared" si="1"/>
        <v>-6935.7728543602498</v>
      </c>
      <c r="K36" s="17">
        <f t="shared" si="3"/>
        <v>33578.664296898256</v>
      </c>
      <c r="M36" s="123"/>
    </row>
    <row r="37" spans="2:13" x14ac:dyDescent="0.35">
      <c r="B37">
        <v>16</v>
      </c>
      <c r="C37" t="s">
        <v>9</v>
      </c>
      <c r="E37" s="128">
        <f t="shared" si="2"/>
        <v>3680929.5798455086</v>
      </c>
      <c r="F37" s="126"/>
      <c r="G37" s="129">
        <f t="shared" si="1"/>
        <v>-4319070.4201544914</v>
      </c>
      <c r="I37" s="2">
        <f>'Tab D - Property Tax'!I9</f>
        <v>3680929.5798455086</v>
      </c>
      <c r="K37" s="17">
        <f t="shared" si="3"/>
        <v>3042788.7395365257</v>
      </c>
      <c r="M37" s="123"/>
    </row>
    <row r="38" spans="2:13" x14ac:dyDescent="0.35">
      <c r="B38">
        <v>17</v>
      </c>
      <c r="C38" t="s">
        <v>10</v>
      </c>
      <c r="E38" s="130">
        <f t="shared" si="2"/>
        <v>45021.618717394289</v>
      </c>
      <c r="F38" s="126"/>
      <c r="G38" s="130">
        <f t="shared" si="1"/>
        <v>19325.592502472922</v>
      </c>
      <c r="I38" s="8"/>
      <c r="K38" s="21">
        <f t="shared" si="3"/>
        <v>64347.211219867211</v>
      </c>
      <c r="M38" s="123"/>
    </row>
    <row r="39" spans="2:13" x14ac:dyDescent="0.35">
      <c r="B39">
        <v>18</v>
      </c>
      <c r="C39" t="s">
        <v>11</v>
      </c>
      <c r="E39" s="129">
        <f>SUM(E32:E38)</f>
        <v>8508813.0258533582</v>
      </c>
      <c r="F39" s="126"/>
      <c r="G39" s="129">
        <f>SUM(G32:G38)</f>
        <v>-3851202.3409488364</v>
      </c>
      <c r="I39" s="17">
        <f>SUM(I32:I38)</f>
        <v>2906975.1297544283</v>
      </c>
      <c r="K39" s="4">
        <f>SUM(K32:K38)</f>
        <v>7564585.8146589492</v>
      </c>
    </row>
    <row r="40" spans="2:13" x14ac:dyDescent="0.35">
      <c r="B40">
        <v>19</v>
      </c>
      <c r="C40" t="s">
        <v>12</v>
      </c>
      <c r="E40" s="128">
        <f>E18</f>
        <v>65946.407343399813</v>
      </c>
      <c r="F40" s="126"/>
      <c r="G40" s="129">
        <f>K18</f>
        <v>31181.721862592778</v>
      </c>
      <c r="K40" s="4">
        <f>E40+G40</f>
        <v>97128.129205992591</v>
      </c>
      <c r="M40" s="126"/>
    </row>
    <row r="41" spans="2:13" x14ac:dyDescent="0.35">
      <c r="B41">
        <v>20</v>
      </c>
      <c r="C41" t="s">
        <v>13</v>
      </c>
      <c r="E41" s="18">
        <f>E39+E40</f>
        <v>8574759.4331967589</v>
      </c>
      <c r="G41" s="18">
        <f>G39+G40</f>
        <v>-3820020.6190862437</v>
      </c>
      <c r="K41" s="18">
        <f>K39+K40</f>
        <v>7661713.9438649416</v>
      </c>
    </row>
    <row r="43" spans="2:13" x14ac:dyDescent="0.35">
      <c r="B43" s="7" t="s">
        <v>236</v>
      </c>
      <c r="C43" t="s">
        <v>249</v>
      </c>
      <c r="K43" s="4">
        <f>K21</f>
        <v>-71319.490285822918</v>
      </c>
    </row>
    <row r="44" spans="2:13" x14ac:dyDescent="0.35">
      <c r="B44" s="7" t="s">
        <v>237</v>
      </c>
      <c r="C44" t="s">
        <v>131</v>
      </c>
      <c r="K44" s="4">
        <f>K41+K43</f>
        <v>7590394.4535791185</v>
      </c>
    </row>
    <row r="45" spans="2:13" x14ac:dyDescent="0.35">
      <c r="I45" s="127" t="s">
        <v>238</v>
      </c>
      <c r="K45" s="3">
        <v>7590394.4261076963</v>
      </c>
    </row>
    <row r="47" spans="2:13" x14ac:dyDescent="0.35">
      <c r="B47" s="12" t="s">
        <v>19</v>
      </c>
    </row>
    <row r="48" spans="2:13" x14ac:dyDescent="0.35">
      <c r="B48" s="7" t="s">
        <v>20</v>
      </c>
      <c r="C48" s="1" t="s">
        <v>14</v>
      </c>
    </row>
    <row r="49" spans="2:3" x14ac:dyDescent="0.35">
      <c r="B49" s="7" t="s">
        <v>25</v>
      </c>
      <c r="C49" s="1" t="s">
        <v>24</v>
      </c>
    </row>
    <row r="50" spans="2:3" x14ac:dyDescent="0.35">
      <c r="B50" s="7" t="s">
        <v>27</v>
      </c>
      <c r="C50" s="1" t="s">
        <v>265</v>
      </c>
    </row>
    <row r="51" spans="2:3" x14ac:dyDescent="0.35">
      <c r="B51" s="7" t="s">
        <v>28</v>
      </c>
      <c r="C51" t="s">
        <v>248</v>
      </c>
    </row>
    <row r="52" spans="2:3" x14ac:dyDescent="0.35">
      <c r="B52" s="7" t="s">
        <v>222</v>
      </c>
      <c r="C52" s="1" t="s">
        <v>240</v>
      </c>
    </row>
  </sheetData>
  <phoneticPr fontId="13" type="noConversion"/>
  <pageMargins left="0.7" right="0.7" top="0.75" bottom="0.75" header="0.3" footer="0.3"/>
  <pageSetup scale="79" orientation="portrait" horizontalDpi="1200" verticalDpi="1200" r:id="rId1"/>
  <headerFooter>
    <oddHeader>&amp;RTO2026 Annual Update 
Attachment 4
WP- Schedule 35 Other Formula Revenue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3CFB1-2DE3-406F-8CC6-04BEF8235D61}">
  <dimension ref="A1:O55"/>
  <sheetViews>
    <sheetView zoomScaleNormal="100" workbookViewId="0"/>
  </sheetViews>
  <sheetFormatPr defaultColWidth="9.1796875" defaultRowHeight="12.5" x14ac:dyDescent="0.25"/>
  <cols>
    <col min="1" max="1" width="3.7265625" style="28" customWidth="1"/>
    <col min="2" max="2" width="4.7265625" style="28" customWidth="1"/>
    <col min="3" max="3" width="50.7265625" style="28" customWidth="1"/>
    <col min="4" max="4" width="2.26953125" style="28" customWidth="1"/>
    <col min="5" max="5" width="24.453125" style="28" customWidth="1"/>
    <col min="6" max="6" width="2.453125" style="28" customWidth="1"/>
    <col min="7" max="7" width="24.54296875" style="28" customWidth="1"/>
    <col min="8" max="8" width="2.26953125" style="28" customWidth="1"/>
    <col min="9" max="9" width="24.54296875" style="28" bestFit="1" customWidth="1"/>
    <col min="10" max="10" width="2.26953125" style="28" customWidth="1"/>
    <col min="11" max="11" width="24.54296875" style="28" customWidth="1"/>
    <col min="12" max="12" width="2.26953125" style="28" customWidth="1"/>
    <col min="13" max="13" width="24.54296875" style="28" customWidth="1"/>
    <col min="14" max="16384" width="9.1796875" style="28"/>
  </cols>
  <sheetData>
    <row r="1" spans="1:13" ht="13" x14ac:dyDescent="0.3">
      <c r="A1" s="75" t="s">
        <v>122</v>
      </c>
    </row>
    <row r="2" spans="1:13" ht="13" x14ac:dyDescent="0.3">
      <c r="A2" s="75"/>
    </row>
    <row r="3" spans="1:13" ht="13" x14ac:dyDescent="0.3">
      <c r="E3" s="39" t="s">
        <v>123</v>
      </c>
      <c r="G3" s="39" t="s">
        <v>124</v>
      </c>
      <c r="I3" s="39" t="s">
        <v>125</v>
      </c>
      <c r="K3" s="39" t="s">
        <v>126</v>
      </c>
      <c r="M3" s="39" t="s">
        <v>138</v>
      </c>
    </row>
    <row r="5" spans="1:13" ht="26.25" customHeight="1" x14ac:dyDescent="0.3">
      <c r="E5" s="39" t="s">
        <v>21</v>
      </c>
      <c r="G5" s="76" t="s">
        <v>127</v>
      </c>
      <c r="H5" s="77"/>
      <c r="I5" s="105" t="s">
        <v>154</v>
      </c>
      <c r="J5" s="77"/>
      <c r="K5" s="76" t="s">
        <v>164</v>
      </c>
      <c r="L5" s="77"/>
      <c r="M5" s="76" t="s">
        <v>183</v>
      </c>
    </row>
    <row r="7" spans="1:13" ht="13" x14ac:dyDescent="0.3">
      <c r="G7" s="78" t="s">
        <v>128</v>
      </c>
      <c r="K7" s="78"/>
    </row>
    <row r="8" spans="1:13" ht="13" x14ac:dyDescent="0.3">
      <c r="E8" s="79" t="s">
        <v>129</v>
      </c>
      <c r="G8" s="78" t="s">
        <v>130</v>
      </c>
      <c r="I8" s="78" t="s">
        <v>142</v>
      </c>
      <c r="K8" s="78" t="s">
        <v>155</v>
      </c>
      <c r="M8" s="78" t="s">
        <v>131</v>
      </c>
    </row>
    <row r="9" spans="1:13" ht="13" x14ac:dyDescent="0.3">
      <c r="B9" s="80" t="s">
        <v>2</v>
      </c>
      <c r="C9" s="80" t="s">
        <v>132</v>
      </c>
      <c r="E9" s="43" t="s">
        <v>133</v>
      </c>
      <c r="G9" s="10" t="s">
        <v>134</v>
      </c>
      <c r="I9" s="10" t="s">
        <v>133</v>
      </c>
      <c r="K9" s="10" t="s">
        <v>135</v>
      </c>
      <c r="M9" s="10" t="s">
        <v>133</v>
      </c>
    </row>
    <row r="10" spans="1:13" ht="13" x14ac:dyDescent="0.3">
      <c r="B10" s="39">
        <v>1</v>
      </c>
      <c r="C10" s="81" t="s">
        <v>43</v>
      </c>
      <c r="E10" s="82">
        <v>20600.89833695702</v>
      </c>
      <c r="G10" s="82"/>
      <c r="H10" s="82"/>
      <c r="I10" s="104">
        <f>(E10+G10)/$E$41</f>
        <v>1.901987876587943E-2</v>
      </c>
      <c r="J10" s="82"/>
      <c r="K10" s="82">
        <f>I10*'Tab A - True-Up Allocation'!$G$33</f>
        <v>-7039.9067731166806</v>
      </c>
      <c r="L10" s="82"/>
      <c r="M10" s="82">
        <f>E10+G10+K10</f>
        <v>13560.99156384034</v>
      </c>
    </row>
    <row r="11" spans="1:13" ht="13" x14ac:dyDescent="0.3">
      <c r="B11" s="39">
        <f>B10+1</f>
        <v>2</v>
      </c>
      <c r="C11" s="81" t="s">
        <v>44</v>
      </c>
      <c r="E11" s="82">
        <v>0</v>
      </c>
      <c r="G11" s="82"/>
      <c r="H11" s="82"/>
      <c r="I11" s="104">
        <f t="shared" ref="I11:I39" si="0">(E11+G11)/$E$41</f>
        <v>0</v>
      </c>
      <c r="J11" s="82"/>
      <c r="K11" s="82">
        <f>I11*'Tab A - True-Up Allocation'!$G$33</f>
        <v>0</v>
      </c>
      <c r="L11" s="82"/>
      <c r="M11" s="82">
        <f t="shared" ref="M11:M39" si="1">E11+G11+K11</f>
        <v>0</v>
      </c>
    </row>
    <row r="12" spans="1:13" ht="13" x14ac:dyDescent="0.3">
      <c r="B12" s="39">
        <f t="shared" ref="B12:B41" si="2">B11+1</f>
        <v>3</v>
      </c>
      <c r="C12" s="81" t="s">
        <v>45</v>
      </c>
      <c r="E12" s="82">
        <v>42667.8499755921</v>
      </c>
      <c r="G12" s="82"/>
      <c r="H12" s="82"/>
      <c r="I12" s="104">
        <f t="shared" si="0"/>
        <v>3.9393298314599923E-2</v>
      </c>
      <c r="J12" s="82"/>
      <c r="K12" s="82">
        <f>I12*'Tab A - True-Up Allocation'!$G$33</f>
        <v>-14580.80522142251</v>
      </c>
      <c r="L12" s="82"/>
      <c r="M12" s="82">
        <f t="shared" si="1"/>
        <v>28087.04475416959</v>
      </c>
    </row>
    <row r="13" spans="1:13" ht="13" x14ac:dyDescent="0.3">
      <c r="B13" s="39">
        <f t="shared" si="2"/>
        <v>4</v>
      </c>
      <c r="C13" s="81" t="s">
        <v>46</v>
      </c>
      <c r="E13" s="82">
        <v>0</v>
      </c>
      <c r="G13" s="82"/>
      <c r="H13" s="82"/>
      <c r="I13" s="104">
        <f t="shared" si="0"/>
        <v>0</v>
      </c>
      <c r="J13" s="82"/>
      <c r="K13" s="82">
        <f>I13*'Tab A - True-Up Allocation'!$G$33</f>
        <v>0</v>
      </c>
      <c r="L13" s="82"/>
      <c r="M13" s="82">
        <f t="shared" si="1"/>
        <v>0</v>
      </c>
    </row>
    <row r="14" spans="1:13" ht="13" x14ac:dyDescent="0.3">
      <c r="B14" s="39">
        <f t="shared" si="2"/>
        <v>5</v>
      </c>
      <c r="C14" s="81" t="s">
        <v>47</v>
      </c>
      <c r="E14" s="82">
        <v>33780.027276132554</v>
      </c>
      <c r="G14" s="82"/>
      <c r="H14" s="82"/>
      <c r="I14" s="104">
        <f t="shared" si="0"/>
        <v>3.1187573133524073E-2</v>
      </c>
      <c r="J14" s="82"/>
      <c r="K14" s="82">
        <f>I14*'Tab A - True-Up Allocation'!$G$33</f>
        <v>-11543.586057637847</v>
      </c>
      <c r="L14" s="82"/>
      <c r="M14" s="82">
        <f t="shared" si="1"/>
        <v>22236.441218494707</v>
      </c>
    </row>
    <row r="15" spans="1:13" ht="13" x14ac:dyDescent="0.3">
      <c r="B15" s="39">
        <f t="shared" si="2"/>
        <v>6</v>
      </c>
      <c r="C15" s="81" t="s">
        <v>48</v>
      </c>
      <c r="E15" s="82">
        <v>0</v>
      </c>
      <c r="G15" s="82"/>
      <c r="H15" s="82"/>
      <c r="I15" s="104">
        <f t="shared" si="0"/>
        <v>0</v>
      </c>
      <c r="J15" s="82"/>
      <c r="K15" s="82">
        <f>I15*'Tab A - True-Up Allocation'!$G$33</f>
        <v>0</v>
      </c>
      <c r="L15" s="82"/>
      <c r="M15" s="82">
        <f t="shared" si="1"/>
        <v>0</v>
      </c>
    </row>
    <row r="16" spans="1:13" ht="13" x14ac:dyDescent="0.3">
      <c r="B16" s="39">
        <f t="shared" si="2"/>
        <v>7</v>
      </c>
      <c r="C16" s="81" t="s">
        <v>49</v>
      </c>
      <c r="E16" s="82">
        <v>0</v>
      </c>
      <c r="G16" s="82"/>
      <c r="H16" s="82"/>
      <c r="I16" s="104">
        <f t="shared" si="0"/>
        <v>0</v>
      </c>
      <c r="J16" s="82"/>
      <c r="K16" s="82">
        <f>I16*'Tab A - True-Up Allocation'!$G$33</f>
        <v>0</v>
      </c>
      <c r="L16" s="82"/>
      <c r="M16" s="82">
        <f t="shared" si="1"/>
        <v>0</v>
      </c>
    </row>
    <row r="17" spans="2:13" ht="13" x14ac:dyDescent="0.3">
      <c r="B17" s="39">
        <f t="shared" si="2"/>
        <v>8</v>
      </c>
      <c r="C17" s="81" t="s">
        <v>50</v>
      </c>
      <c r="E17" s="82">
        <v>0</v>
      </c>
      <c r="G17" s="82"/>
      <c r="H17" s="82"/>
      <c r="I17" s="104">
        <f t="shared" si="0"/>
        <v>0</v>
      </c>
      <c r="J17" s="82"/>
      <c r="K17" s="82">
        <f>I17*'Tab A - True-Up Allocation'!$G$33</f>
        <v>0</v>
      </c>
      <c r="L17" s="82"/>
      <c r="M17" s="82">
        <f t="shared" si="1"/>
        <v>0</v>
      </c>
    </row>
    <row r="18" spans="2:13" ht="13" x14ac:dyDescent="0.3">
      <c r="B18" s="39">
        <f t="shared" si="2"/>
        <v>9</v>
      </c>
      <c r="C18" s="81" t="s">
        <v>51</v>
      </c>
      <c r="E18" s="82">
        <v>206823.86859887058</v>
      </c>
      <c r="G18" s="82"/>
      <c r="H18" s="82"/>
      <c r="I18" s="104">
        <f t="shared" si="0"/>
        <v>0.19095113437765532</v>
      </c>
      <c r="J18" s="82"/>
      <c r="K18" s="82">
        <f>I18*'Tab A - True-Up Allocation'!$G$33</f>
        <v>-70677.536948927722</v>
      </c>
      <c r="L18" s="82"/>
      <c r="M18" s="82">
        <f t="shared" si="1"/>
        <v>136146.33164994285</v>
      </c>
    </row>
    <row r="19" spans="2:13" ht="13" x14ac:dyDescent="0.3">
      <c r="B19" s="39">
        <f t="shared" si="2"/>
        <v>10</v>
      </c>
      <c r="C19" s="81" t="s">
        <v>52</v>
      </c>
      <c r="E19" s="82">
        <v>0</v>
      </c>
      <c r="G19" s="82"/>
      <c r="H19" s="82"/>
      <c r="I19" s="104">
        <f t="shared" si="0"/>
        <v>0</v>
      </c>
      <c r="J19" s="82"/>
      <c r="K19" s="82">
        <f>I19*'Tab A - True-Up Allocation'!$G$33</f>
        <v>0</v>
      </c>
      <c r="L19" s="82"/>
      <c r="M19" s="82">
        <f t="shared" si="1"/>
        <v>0</v>
      </c>
    </row>
    <row r="20" spans="2:13" ht="13" x14ac:dyDescent="0.3">
      <c r="B20" s="39">
        <f t="shared" si="2"/>
        <v>11</v>
      </c>
      <c r="C20" s="81" t="s">
        <v>53</v>
      </c>
      <c r="E20" s="82">
        <v>0</v>
      </c>
      <c r="G20" s="82"/>
      <c r="H20" s="82"/>
      <c r="I20" s="104">
        <f t="shared" si="0"/>
        <v>0</v>
      </c>
      <c r="J20" s="82"/>
      <c r="K20" s="82">
        <f>I20*'Tab A - True-Up Allocation'!$G$33</f>
        <v>0</v>
      </c>
      <c r="L20" s="82"/>
      <c r="M20" s="82">
        <f t="shared" si="1"/>
        <v>0</v>
      </c>
    </row>
    <row r="21" spans="2:13" ht="13" x14ac:dyDescent="0.3">
      <c r="B21" s="39">
        <f t="shared" si="2"/>
        <v>12</v>
      </c>
      <c r="C21" s="81" t="s">
        <v>54</v>
      </c>
      <c r="E21" s="82">
        <v>0</v>
      </c>
      <c r="G21" s="82"/>
      <c r="H21" s="82"/>
      <c r="I21" s="104">
        <f t="shared" si="0"/>
        <v>0</v>
      </c>
      <c r="J21" s="82"/>
      <c r="K21" s="82">
        <f>I21*'Tab A - True-Up Allocation'!$G$33</f>
        <v>0</v>
      </c>
      <c r="L21" s="82"/>
      <c r="M21" s="82">
        <f t="shared" si="1"/>
        <v>0</v>
      </c>
    </row>
    <row r="22" spans="2:13" ht="13" x14ac:dyDescent="0.3">
      <c r="B22" s="39">
        <f t="shared" si="2"/>
        <v>13</v>
      </c>
      <c r="C22" s="81" t="s">
        <v>55</v>
      </c>
      <c r="E22" s="82">
        <v>0</v>
      </c>
      <c r="G22" s="82"/>
      <c r="H22" s="82"/>
      <c r="I22" s="104">
        <f t="shared" si="0"/>
        <v>0</v>
      </c>
      <c r="J22" s="82"/>
      <c r="K22" s="82">
        <f>I22*'Tab A - True-Up Allocation'!$G$33</f>
        <v>0</v>
      </c>
      <c r="L22" s="82"/>
      <c r="M22" s="82">
        <f t="shared" si="1"/>
        <v>0</v>
      </c>
    </row>
    <row r="23" spans="2:13" ht="13" x14ac:dyDescent="0.3">
      <c r="B23" s="39">
        <f t="shared" si="2"/>
        <v>14</v>
      </c>
      <c r="C23" s="81" t="s">
        <v>56</v>
      </c>
      <c r="E23" s="82">
        <v>128733.74351788589</v>
      </c>
      <c r="G23" s="82">
        <f>E40</f>
        <v>-164.70342407889157</v>
      </c>
      <c r="H23" s="82"/>
      <c r="I23" s="104">
        <f t="shared" si="0"/>
        <v>0.11870198646836817</v>
      </c>
      <c r="J23" s="82"/>
      <c r="K23" s="82">
        <f>I23*'Tab A - True-Up Allocation'!$G$33</f>
        <v>-43935.659570037817</v>
      </c>
      <c r="L23" s="82"/>
      <c r="M23" s="82">
        <f t="shared" si="1"/>
        <v>84633.380523769185</v>
      </c>
    </row>
    <row r="24" spans="2:13" ht="13" x14ac:dyDescent="0.3">
      <c r="B24" s="39">
        <f t="shared" si="2"/>
        <v>15</v>
      </c>
      <c r="C24" s="81" t="s">
        <v>57</v>
      </c>
      <c r="E24" s="82">
        <v>0</v>
      </c>
      <c r="G24" s="82"/>
      <c r="H24" s="82"/>
      <c r="I24" s="104">
        <f t="shared" si="0"/>
        <v>0</v>
      </c>
      <c r="J24" s="82"/>
      <c r="K24" s="82">
        <f>I24*'Tab A - True-Up Allocation'!$G$33</f>
        <v>0</v>
      </c>
      <c r="L24" s="82"/>
      <c r="M24" s="82">
        <f t="shared" si="1"/>
        <v>0</v>
      </c>
    </row>
    <row r="25" spans="2:13" ht="13" x14ac:dyDescent="0.3">
      <c r="B25" s="39">
        <f t="shared" si="2"/>
        <v>16</v>
      </c>
      <c r="C25" s="81" t="s">
        <v>58</v>
      </c>
      <c r="E25" s="82">
        <v>0</v>
      </c>
      <c r="G25" s="82"/>
      <c r="H25" s="82"/>
      <c r="I25" s="104">
        <f t="shared" si="0"/>
        <v>0</v>
      </c>
      <c r="J25" s="82"/>
      <c r="K25" s="82">
        <f>I25*'Tab A - True-Up Allocation'!$G$33</f>
        <v>0</v>
      </c>
      <c r="L25" s="82"/>
      <c r="M25" s="82">
        <f t="shared" si="1"/>
        <v>0</v>
      </c>
    </row>
    <row r="26" spans="2:13" ht="13" x14ac:dyDescent="0.3">
      <c r="B26" s="39">
        <f t="shared" si="2"/>
        <v>17</v>
      </c>
      <c r="C26" s="81" t="s">
        <v>59</v>
      </c>
      <c r="E26" s="82">
        <v>0</v>
      </c>
      <c r="G26" s="82"/>
      <c r="H26" s="82"/>
      <c r="I26" s="104">
        <f t="shared" si="0"/>
        <v>0</v>
      </c>
      <c r="J26" s="82"/>
      <c r="K26" s="82">
        <f>I26*'Tab A - True-Up Allocation'!$G$33</f>
        <v>0</v>
      </c>
      <c r="L26" s="82"/>
      <c r="M26" s="82">
        <f t="shared" si="1"/>
        <v>0</v>
      </c>
    </row>
    <row r="27" spans="2:13" ht="13" x14ac:dyDescent="0.3">
      <c r="B27" s="39">
        <f t="shared" si="2"/>
        <v>18</v>
      </c>
      <c r="C27" s="81" t="s">
        <v>60</v>
      </c>
      <c r="E27" s="82">
        <v>0</v>
      </c>
      <c r="G27" s="82"/>
      <c r="H27" s="82"/>
      <c r="I27" s="104">
        <f t="shared" si="0"/>
        <v>0</v>
      </c>
      <c r="J27" s="82"/>
      <c r="K27" s="82">
        <f>I27*'Tab A - True-Up Allocation'!$G$33</f>
        <v>0</v>
      </c>
      <c r="L27" s="82"/>
      <c r="M27" s="82">
        <f t="shared" si="1"/>
        <v>0</v>
      </c>
    </row>
    <row r="28" spans="2:13" ht="13" x14ac:dyDescent="0.3">
      <c r="B28" s="39">
        <f t="shared" si="2"/>
        <v>19</v>
      </c>
      <c r="C28" s="81" t="s">
        <v>61</v>
      </c>
      <c r="E28" s="82">
        <v>0</v>
      </c>
      <c r="G28" s="82"/>
      <c r="H28" s="82"/>
      <c r="I28" s="104">
        <f t="shared" si="0"/>
        <v>0</v>
      </c>
      <c r="J28" s="82"/>
      <c r="K28" s="82">
        <f>I28*'Tab A - True-Up Allocation'!$G$33</f>
        <v>0</v>
      </c>
      <c r="L28" s="82"/>
      <c r="M28" s="82">
        <f t="shared" si="1"/>
        <v>0</v>
      </c>
    </row>
    <row r="29" spans="2:13" ht="13" x14ac:dyDescent="0.3">
      <c r="B29" s="39">
        <f t="shared" si="2"/>
        <v>20</v>
      </c>
      <c r="C29" s="81" t="s">
        <v>62</v>
      </c>
      <c r="E29" s="82">
        <v>6717.6154769435225</v>
      </c>
      <c r="G29" s="82"/>
      <c r="H29" s="82"/>
      <c r="I29" s="104">
        <f t="shared" si="0"/>
        <v>6.2020708940663553E-3</v>
      </c>
      <c r="J29" s="82"/>
      <c r="K29" s="82">
        <f>I29*'Tab A - True-Up Allocation'!$G$33</f>
        <v>-2295.5982754640204</v>
      </c>
      <c r="L29" s="82"/>
      <c r="M29" s="82">
        <f t="shared" si="1"/>
        <v>4422.0172014795025</v>
      </c>
    </row>
    <row r="30" spans="2:13" ht="13" x14ac:dyDescent="0.3">
      <c r="B30" s="39">
        <f t="shared" si="2"/>
        <v>21</v>
      </c>
      <c r="C30" s="81" t="s">
        <v>63</v>
      </c>
      <c r="E30" s="82">
        <v>0</v>
      </c>
      <c r="G30" s="82"/>
      <c r="H30" s="82"/>
      <c r="I30" s="104">
        <f t="shared" si="0"/>
        <v>0</v>
      </c>
      <c r="J30" s="82"/>
      <c r="K30" s="82">
        <f>I30*'Tab A - True-Up Allocation'!$G$33</f>
        <v>0</v>
      </c>
      <c r="L30" s="82"/>
      <c r="M30" s="82">
        <f t="shared" si="1"/>
        <v>0</v>
      </c>
    </row>
    <row r="31" spans="2:13" ht="13" x14ac:dyDescent="0.3">
      <c r="B31" s="39">
        <f t="shared" si="2"/>
        <v>22</v>
      </c>
      <c r="C31" s="81" t="s">
        <v>64</v>
      </c>
      <c r="E31" s="82">
        <v>0</v>
      </c>
      <c r="G31" s="82"/>
      <c r="H31" s="82"/>
      <c r="I31" s="104">
        <f t="shared" si="0"/>
        <v>0</v>
      </c>
      <c r="J31" s="82"/>
      <c r="K31" s="82">
        <f>I31*'Tab A - True-Up Allocation'!$G$33</f>
        <v>0</v>
      </c>
      <c r="L31" s="82"/>
      <c r="M31" s="82">
        <f t="shared" si="1"/>
        <v>0</v>
      </c>
    </row>
    <row r="32" spans="2:13" ht="13" x14ac:dyDescent="0.3">
      <c r="B32" s="39">
        <f t="shared" si="2"/>
        <v>23</v>
      </c>
      <c r="C32" s="81" t="s">
        <v>65</v>
      </c>
      <c r="E32" s="82">
        <v>0</v>
      </c>
      <c r="G32" s="82"/>
      <c r="H32" s="82"/>
      <c r="I32" s="104">
        <f t="shared" si="0"/>
        <v>0</v>
      </c>
      <c r="J32" s="82"/>
      <c r="K32" s="82">
        <f>I32*'Tab A - True-Up Allocation'!$G$33</f>
        <v>0</v>
      </c>
      <c r="L32" s="82"/>
      <c r="M32" s="82">
        <f t="shared" si="1"/>
        <v>0</v>
      </c>
    </row>
    <row r="33" spans="2:15" ht="13" x14ac:dyDescent="0.3">
      <c r="B33" s="39">
        <f t="shared" si="2"/>
        <v>24</v>
      </c>
      <c r="C33" s="81" t="s">
        <v>66</v>
      </c>
      <c r="E33" s="82">
        <v>0</v>
      </c>
      <c r="G33" s="82"/>
      <c r="H33" s="82"/>
      <c r="I33" s="104">
        <f t="shared" si="0"/>
        <v>0</v>
      </c>
      <c r="J33" s="82"/>
      <c r="K33" s="82">
        <f>I33*'Tab A - True-Up Allocation'!$G$33</f>
        <v>0</v>
      </c>
      <c r="L33" s="82"/>
      <c r="M33" s="82">
        <f t="shared" si="1"/>
        <v>0</v>
      </c>
    </row>
    <row r="34" spans="2:15" ht="13" x14ac:dyDescent="0.3">
      <c r="B34" s="39">
        <f t="shared" si="2"/>
        <v>25</v>
      </c>
      <c r="C34" s="81" t="s">
        <v>67</v>
      </c>
      <c r="E34" s="82">
        <v>0</v>
      </c>
      <c r="G34" s="82"/>
      <c r="H34" s="82"/>
      <c r="I34" s="104">
        <f t="shared" si="0"/>
        <v>0</v>
      </c>
      <c r="J34" s="82"/>
      <c r="K34" s="82">
        <f>I34*'Tab A - True-Up Allocation'!$G$33</f>
        <v>0</v>
      </c>
      <c r="L34" s="82"/>
      <c r="M34" s="82">
        <f t="shared" si="1"/>
        <v>0</v>
      </c>
    </row>
    <row r="35" spans="2:15" ht="13" x14ac:dyDescent="0.3">
      <c r="B35" s="39">
        <f t="shared" si="2"/>
        <v>26</v>
      </c>
      <c r="C35" s="81" t="s">
        <v>68</v>
      </c>
      <c r="E35" s="82">
        <v>636945.83131236618</v>
      </c>
      <c r="G35" s="82"/>
      <c r="H35" s="82"/>
      <c r="I35" s="104">
        <f t="shared" si="0"/>
        <v>0.58806331131009115</v>
      </c>
      <c r="J35" s="82"/>
      <c r="K35" s="82">
        <f>I35*'Tab A - True-Up Allocation'!$G$33</f>
        <v>-217662.31737186969</v>
      </c>
      <c r="L35" s="82"/>
      <c r="M35" s="82">
        <f t="shared" si="1"/>
        <v>419283.51394049649</v>
      </c>
    </row>
    <row r="36" spans="2:15" ht="13" x14ac:dyDescent="0.3">
      <c r="B36" s="39">
        <f t="shared" si="2"/>
        <v>27</v>
      </c>
      <c r="C36" s="81" t="s">
        <v>69</v>
      </c>
      <c r="E36" s="82">
        <v>0</v>
      </c>
      <c r="G36" s="82"/>
      <c r="H36" s="82"/>
      <c r="I36" s="104">
        <f t="shared" si="0"/>
        <v>0</v>
      </c>
      <c r="J36" s="82"/>
      <c r="K36" s="82">
        <f>I36*'Tab A - True-Up Allocation'!$G$33</f>
        <v>0</v>
      </c>
      <c r="L36" s="82"/>
      <c r="M36" s="82">
        <f t="shared" si="1"/>
        <v>0</v>
      </c>
    </row>
    <row r="37" spans="2:15" ht="13" x14ac:dyDescent="0.3">
      <c r="B37" s="39">
        <f t="shared" si="2"/>
        <v>28</v>
      </c>
      <c r="C37" s="81" t="s">
        <v>70</v>
      </c>
      <c r="E37" s="82">
        <v>0</v>
      </c>
      <c r="G37" s="82"/>
      <c r="H37" s="82"/>
      <c r="I37" s="104">
        <f t="shared" si="0"/>
        <v>0</v>
      </c>
      <c r="J37" s="82"/>
      <c r="K37" s="82">
        <f>I37*'Tab A - True-Up Allocation'!$G$33</f>
        <v>0</v>
      </c>
      <c r="L37" s="82"/>
      <c r="M37" s="82">
        <f t="shared" si="1"/>
        <v>0</v>
      </c>
    </row>
    <row r="38" spans="2:15" ht="13" x14ac:dyDescent="0.3">
      <c r="B38" s="39">
        <f t="shared" si="2"/>
        <v>29</v>
      </c>
      <c r="C38" s="81" t="s">
        <v>71</v>
      </c>
      <c r="E38" s="82">
        <v>0</v>
      </c>
      <c r="G38" s="82"/>
      <c r="H38" s="82"/>
      <c r="I38" s="104">
        <f t="shared" si="0"/>
        <v>0</v>
      </c>
      <c r="J38" s="82"/>
      <c r="K38" s="82">
        <f>I38*'Tab A - True-Up Allocation'!$G$33</f>
        <v>0</v>
      </c>
      <c r="L38" s="82"/>
      <c r="M38" s="82">
        <f t="shared" si="1"/>
        <v>0</v>
      </c>
    </row>
    <row r="39" spans="2:15" ht="13" x14ac:dyDescent="0.3">
      <c r="B39" s="39">
        <f t="shared" si="2"/>
        <v>30</v>
      </c>
      <c r="C39" s="81" t="s">
        <v>72</v>
      </c>
      <c r="E39" s="82">
        <v>7019.4561330016759</v>
      </c>
      <c r="G39" s="82"/>
      <c r="H39" s="82"/>
      <c r="I39" s="104">
        <f t="shared" si="0"/>
        <v>6.4807467358154779E-3</v>
      </c>
      <c r="J39" s="82"/>
      <c r="K39" s="82">
        <f>I39*'Tab A - True-Up Allocation'!$G$33</f>
        <v>-2398.7457229310935</v>
      </c>
      <c r="L39" s="82"/>
      <c r="M39" s="82">
        <f t="shared" si="1"/>
        <v>4620.7104100705819</v>
      </c>
    </row>
    <row r="40" spans="2:15" ht="13" x14ac:dyDescent="0.3">
      <c r="B40" s="39">
        <f t="shared" si="2"/>
        <v>31</v>
      </c>
      <c r="C40" s="28" t="s">
        <v>73</v>
      </c>
      <c r="E40" s="83">
        <v>-164.70342407889157</v>
      </c>
      <c r="G40" s="83"/>
      <c r="H40" s="82"/>
      <c r="I40" s="83"/>
      <c r="J40" s="82"/>
      <c r="K40" s="83"/>
      <c r="L40" s="82"/>
      <c r="M40" s="83"/>
    </row>
    <row r="41" spans="2:15" ht="13" x14ac:dyDescent="0.3">
      <c r="B41" s="39">
        <f t="shared" si="2"/>
        <v>32</v>
      </c>
      <c r="C41" s="84" t="s">
        <v>136</v>
      </c>
      <c r="E41" s="50">
        <f>SUM(E10:E40)</f>
        <v>1083124.5872036708</v>
      </c>
      <c r="G41" s="85">
        <f>SUM(G10:G40)</f>
        <v>-164.70342407889157</v>
      </c>
      <c r="H41" s="82"/>
      <c r="I41" s="103">
        <f>SUM(I10:I40)</f>
        <v>0.99999999999999989</v>
      </c>
      <c r="J41" s="82"/>
      <c r="K41" s="85">
        <f>SUM(K10:K40)</f>
        <v>-370134.15594140743</v>
      </c>
      <c r="L41" s="82"/>
      <c r="M41" s="85">
        <f>SUM(M10:M40)</f>
        <v>712990.43126226333</v>
      </c>
      <c r="N41" s="106"/>
      <c r="O41" s="107"/>
    </row>
    <row r="42" spans="2:15" ht="13" x14ac:dyDescent="0.3">
      <c r="B42" s="39"/>
    </row>
    <row r="43" spans="2:15" ht="13" x14ac:dyDescent="0.3">
      <c r="B43" s="75" t="s">
        <v>19</v>
      </c>
    </row>
    <row r="44" spans="2:15" x14ac:dyDescent="0.25">
      <c r="B44" s="86" t="s">
        <v>184</v>
      </c>
    </row>
    <row r="45" spans="2:15" x14ac:dyDescent="0.25">
      <c r="B45" s="86"/>
      <c r="C45" s="27"/>
    </row>
    <row r="46" spans="2:15" x14ac:dyDescent="0.25">
      <c r="B46" s="86"/>
      <c r="C46" s="27"/>
      <c r="E46" s="87"/>
    </row>
    <row r="47" spans="2:15" x14ac:dyDescent="0.25">
      <c r="B47" s="86"/>
    </row>
    <row r="50" spans="2:2" x14ac:dyDescent="0.25">
      <c r="B50" s="88"/>
    </row>
    <row r="51" spans="2:2" x14ac:dyDescent="0.25">
      <c r="B51" s="88"/>
    </row>
    <row r="52" spans="2:2" x14ac:dyDescent="0.25">
      <c r="B52" s="86"/>
    </row>
    <row r="53" spans="2:2" ht="13" x14ac:dyDescent="0.3">
      <c r="B53" s="80"/>
    </row>
    <row r="54" spans="2:2" x14ac:dyDescent="0.25">
      <c r="B54" s="86"/>
    </row>
    <row r="55" spans="2:2" x14ac:dyDescent="0.25">
      <c r="B55" s="89"/>
    </row>
  </sheetData>
  <pageMargins left="0.7" right="0.7" top="0.75" bottom="0.75" header="0.3" footer="0.3"/>
  <pageSetup scale="43" orientation="portrait" r:id="rId1"/>
  <headerFooter>
    <oddHeader>&amp;RTO2026 Annual Update 
Attachment 4
WP- Schedule 35 Other Formula Revenue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4BBF3-E54F-4A2A-9B77-8DEBE87A201F}">
  <dimension ref="A1:T38"/>
  <sheetViews>
    <sheetView zoomScaleNormal="100" workbookViewId="0"/>
  </sheetViews>
  <sheetFormatPr defaultColWidth="9.1796875" defaultRowHeight="12.5" x14ac:dyDescent="0.25"/>
  <cols>
    <col min="1" max="1" width="3.7265625" style="28" customWidth="1"/>
    <col min="2" max="2" width="4.7265625" style="28" customWidth="1"/>
    <col min="3" max="3" width="8.26953125" style="28" bestFit="1" customWidth="1"/>
    <col min="4" max="4" width="30.26953125" style="28" bestFit="1" customWidth="1"/>
    <col min="5" max="5" width="2.26953125" style="28" customWidth="1"/>
    <col min="6" max="6" width="24.453125" style="28" customWidth="1"/>
    <col min="7" max="7" width="2.453125" style="28" customWidth="1"/>
    <col min="8" max="8" width="24.54296875" style="28" customWidth="1"/>
    <col min="9" max="9" width="2.26953125" style="28" customWidth="1"/>
    <col min="10" max="10" width="24.54296875" style="28" bestFit="1" customWidth="1"/>
    <col min="11" max="11" width="2.26953125" style="28" customWidth="1"/>
    <col min="12" max="12" width="24.26953125" style="28" customWidth="1"/>
    <col min="13" max="13" width="2.26953125" style="28" customWidth="1"/>
    <col min="14" max="14" width="29" style="28" bestFit="1" customWidth="1"/>
    <col min="15" max="15" width="2.26953125" style="28" customWidth="1"/>
    <col min="16" max="16" width="24.54296875" style="28" customWidth="1"/>
    <col min="17" max="17" width="2.26953125" style="28" customWidth="1"/>
    <col min="18" max="18" width="24.54296875" style="28" customWidth="1"/>
    <col min="19" max="19" width="10.1796875" style="28" bestFit="1" customWidth="1"/>
    <col min="20" max="16384" width="9.1796875" style="28"/>
  </cols>
  <sheetData>
    <row r="1" spans="1:18" ht="13" x14ac:dyDescent="0.3">
      <c r="A1" s="75" t="s">
        <v>191</v>
      </c>
    </row>
    <row r="2" spans="1:18" ht="13" x14ac:dyDescent="0.3">
      <c r="A2" s="75"/>
    </row>
    <row r="3" spans="1:18" ht="13" x14ac:dyDescent="0.3">
      <c r="F3" s="39" t="s">
        <v>123</v>
      </c>
      <c r="H3" s="39" t="s">
        <v>124</v>
      </c>
      <c r="J3" s="39" t="s">
        <v>125</v>
      </c>
      <c r="L3" s="39" t="s">
        <v>126</v>
      </c>
      <c r="N3" s="39" t="s">
        <v>138</v>
      </c>
      <c r="P3" s="39" t="s">
        <v>205</v>
      </c>
      <c r="R3" s="39" t="s">
        <v>220</v>
      </c>
    </row>
    <row r="5" spans="1:18" ht="26.25" customHeight="1" x14ac:dyDescent="0.3">
      <c r="F5" s="39" t="s">
        <v>21</v>
      </c>
      <c r="H5" s="105" t="s">
        <v>186</v>
      </c>
      <c r="I5" s="77"/>
      <c r="J5" s="76" t="s">
        <v>187</v>
      </c>
      <c r="K5" s="77"/>
      <c r="L5" s="39" t="s">
        <v>22</v>
      </c>
      <c r="M5" s="77"/>
      <c r="N5" s="76" t="s">
        <v>219</v>
      </c>
      <c r="O5" s="77"/>
      <c r="P5" s="39" t="s">
        <v>23</v>
      </c>
      <c r="Q5" s="77"/>
      <c r="R5" s="76" t="s">
        <v>221</v>
      </c>
    </row>
    <row r="7" spans="1:18" ht="13" x14ac:dyDescent="0.3">
      <c r="H7" s="78"/>
      <c r="J7" s="78"/>
      <c r="P7" s="78" t="s">
        <v>190</v>
      </c>
    </row>
    <row r="8" spans="1:18" ht="14.5" x14ac:dyDescent="0.35">
      <c r="C8" s="110" t="s">
        <v>166</v>
      </c>
      <c r="D8"/>
      <c r="F8" s="79" t="s">
        <v>129</v>
      </c>
      <c r="H8" s="78" t="s">
        <v>142</v>
      </c>
      <c r="J8" s="78" t="s">
        <v>155</v>
      </c>
      <c r="L8" s="78" t="s">
        <v>129</v>
      </c>
      <c r="N8" s="78" t="s">
        <v>155</v>
      </c>
      <c r="P8" s="78" t="s">
        <v>188</v>
      </c>
      <c r="R8" s="78" t="s">
        <v>131</v>
      </c>
    </row>
    <row r="9" spans="1:18" ht="13" x14ac:dyDescent="0.3">
      <c r="B9" s="80" t="s">
        <v>2</v>
      </c>
      <c r="C9" s="13" t="s">
        <v>167</v>
      </c>
      <c r="D9" s="13" t="s">
        <v>168</v>
      </c>
      <c r="F9" s="43" t="s">
        <v>166</v>
      </c>
      <c r="H9" s="10" t="s">
        <v>166</v>
      </c>
      <c r="J9" s="10" t="s">
        <v>135</v>
      </c>
      <c r="L9" s="10" t="s">
        <v>217</v>
      </c>
      <c r="N9" s="10" t="s">
        <v>215</v>
      </c>
      <c r="P9" s="10" t="s">
        <v>189</v>
      </c>
      <c r="R9" s="10" t="s">
        <v>166</v>
      </c>
    </row>
    <row r="10" spans="1:18" ht="14.5" x14ac:dyDescent="0.35">
      <c r="B10" s="39">
        <v>1</v>
      </c>
      <c r="C10" s="6">
        <v>920</v>
      </c>
      <c r="D10" t="s">
        <v>169</v>
      </c>
      <c r="F10" s="82">
        <v>170268.1155938913</v>
      </c>
      <c r="H10" s="104">
        <f>(F10)/$F$24</f>
        <v>0.11757529120971809</v>
      </c>
      <c r="I10" s="82"/>
      <c r="J10" s="82">
        <f>H10*'Tab A - True-Up Allocation'!$G$34</f>
        <v>82462.232203863023</v>
      </c>
      <c r="K10" s="82"/>
      <c r="L10" s="82"/>
      <c r="M10" s="82"/>
      <c r="N10" s="82"/>
      <c r="O10" s="82"/>
      <c r="Q10" s="82"/>
      <c r="R10" s="82">
        <f t="shared" ref="R10:R23" si="0">F10+J10+L10+N10+P10</f>
        <v>252730.34779775434</v>
      </c>
    </row>
    <row r="11" spans="1:18" ht="14.5" x14ac:dyDescent="0.35">
      <c r="B11" s="39">
        <f>B10+1</f>
        <v>2</v>
      </c>
      <c r="C11" s="6">
        <v>921</v>
      </c>
      <c r="D11" t="s">
        <v>170</v>
      </c>
      <c r="F11" s="82">
        <v>172867.30389643097</v>
      </c>
      <c r="H11" s="104">
        <f t="shared" ref="H11:H23" si="1">(F11)/$F$24</f>
        <v>0.11937010946159142</v>
      </c>
      <c r="I11" s="82"/>
      <c r="J11" s="82">
        <f>H11*'Tab A - True-Up Allocation'!$G$34</f>
        <v>83721.040223191812</v>
      </c>
      <c r="K11" s="82"/>
      <c r="L11" s="82"/>
      <c r="M11" s="82"/>
      <c r="N11" s="82"/>
      <c r="O11" s="82"/>
      <c r="Q11" s="82"/>
      <c r="R11" s="82">
        <f t="shared" si="0"/>
        <v>256588.34411962278</v>
      </c>
    </row>
    <row r="12" spans="1:18" ht="14.5" x14ac:dyDescent="0.35">
      <c r="B12" s="39">
        <f t="shared" ref="B12:B23" si="2">B11+1</f>
        <v>3</v>
      </c>
      <c r="C12" s="6">
        <v>922</v>
      </c>
      <c r="D12" t="s">
        <v>171</v>
      </c>
      <c r="F12" s="82">
        <v>-91817.811964984969</v>
      </c>
      <c r="H12" s="104">
        <f t="shared" si="1"/>
        <v>-6.3402980307662227E-2</v>
      </c>
      <c r="I12" s="82"/>
      <c r="J12" s="82">
        <f>H12*'Tab A - True-Up Allocation'!$G$34</f>
        <v>-44468.112566454372</v>
      </c>
      <c r="K12" s="82"/>
      <c r="L12" s="82"/>
      <c r="M12" s="82"/>
      <c r="N12" s="82"/>
      <c r="O12" s="82"/>
      <c r="Q12" s="82"/>
      <c r="R12" s="82">
        <f t="shared" si="0"/>
        <v>-136285.92453143935</v>
      </c>
    </row>
    <row r="13" spans="1:18" ht="14.5" x14ac:dyDescent="0.35">
      <c r="B13" s="39">
        <f t="shared" si="2"/>
        <v>4</v>
      </c>
      <c r="C13" s="6">
        <v>923</v>
      </c>
      <c r="D13" t="s">
        <v>172</v>
      </c>
      <c r="F13" s="82">
        <v>37269.386127599668</v>
      </c>
      <c r="H13" s="104">
        <f t="shared" si="1"/>
        <v>2.5735640004447023E-2</v>
      </c>
      <c r="I13" s="82"/>
      <c r="J13" s="82">
        <f>H13*'Tab A - True-Up Allocation'!$G$34</f>
        <v>18049.866601447353</v>
      </c>
      <c r="K13" s="82"/>
      <c r="L13" s="82"/>
      <c r="M13" s="82"/>
      <c r="N13" s="82"/>
      <c r="O13" s="82"/>
      <c r="Q13" s="82"/>
      <c r="R13" s="82">
        <f t="shared" si="0"/>
        <v>55319.252729047017</v>
      </c>
    </row>
    <row r="14" spans="1:18" ht="14.5" x14ac:dyDescent="0.35">
      <c r="B14" s="39">
        <f t="shared" si="2"/>
        <v>5</v>
      </c>
      <c r="C14" s="6">
        <v>924</v>
      </c>
      <c r="D14" t="s">
        <v>173</v>
      </c>
      <c r="F14" s="82">
        <v>0</v>
      </c>
      <c r="H14" s="104">
        <f t="shared" si="1"/>
        <v>0</v>
      </c>
      <c r="I14" s="82"/>
      <c r="J14" s="82">
        <f>H14*'Tab A - True-Up Allocation'!$G$34</f>
        <v>0</v>
      </c>
      <c r="K14" s="82"/>
      <c r="L14" s="82"/>
      <c r="M14" s="82"/>
      <c r="N14" s="82"/>
      <c r="O14" s="82"/>
      <c r="Q14" s="82"/>
      <c r="R14" s="82">
        <f t="shared" si="0"/>
        <v>0</v>
      </c>
    </row>
    <row r="15" spans="1:18" ht="14.5" x14ac:dyDescent="0.35">
      <c r="B15" s="39">
        <f t="shared" si="2"/>
        <v>6</v>
      </c>
      <c r="C15" s="6">
        <v>925</v>
      </c>
      <c r="D15" t="s">
        <v>174</v>
      </c>
      <c r="F15" s="82">
        <v>1102238.8165075353</v>
      </c>
      <c r="H15" s="104">
        <f t="shared" si="1"/>
        <v>0.76112928942392077</v>
      </c>
      <c r="I15" s="82"/>
      <c r="J15" s="82">
        <f>H15*'Tab A - True-Up Allocation'!$G$34</f>
        <v>533823.21707104461</v>
      </c>
      <c r="K15" s="82"/>
      <c r="L15" s="82"/>
      <c r="M15" s="82"/>
      <c r="N15" s="82"/>
      <c r="O15" s="82"/>
      <c r="P15" s="113">
        <v>-773954.45009108039</v>
      </c>
      <c r="Q15" s="82"/>
      <c r="R15" s="82">
        <f>F15+J15+L15+N15+P15</f>
        <v>862107.58348749939</v>
      </c>
    </row>
    <row r="16" spans="1:18" ht="14.5" x14ac:dyDescent="0.35">
      <c r="B16" s="39">
        <f t="shared" si="2"/>
        <v>7</v>
      </c>
      <c r="C16" s="6">
        <v>926</v>
      </c>
      <c r="D16" t="s">
        <v>175</v>
      </c>
      <c r="F16" s="82">
        <v>21056.122072195019</v>
      </c>
      <c r="H16" s="104">
        <f t="shared" si="1"/>
        <v>1.4539890077191423E-2</v>
      </c>
      <c r="I16" s="82"/>
      <c r="J16" s="82">
        <f>H16*'Tab A - True-Up Allocation'!$G$34</f>
        <v>10197.651049193415</v>
      </c>
      <c r="K16" s="82"/>
      <c r="L16" s="82"/>
      <c r="M16" s="82"/>
      <c r="N16" s="82"/>
      <c r="O16" s="82"/>
      <c r="Q16" s="82"/>
      <c r="R16" s="82">
        <f t="shared" si="0"/>
        <v>31253.773121388433</v>
      </c>
    </row>
    <row r="17" spans="2:20" ht="14.5" x14ac:dyDescent="0.35">
      <c r="B17" s="39">
        <f t="shared" si="2"/>
        <v>8</v>
      </c>
      <c r="C17" s="6">
        <v>927</v>
      </c>
      <c r="D17" t="s">
        <v>176</v>
      </c>
      <c r="F17" s="82">
        <v>0</v>
      </c>
      <c r="H17" s="104">
        <f t="shared" si="1"/>
        <v>0</v>
      </c>
      <c r="I17" s="82"/>
      <c r="J17" s="82">
        <f>H17*'Tab A - True-Up Allocation'!$G$34</f>
        <v>0</v>
      </c>
      <c r="K17" s="82"/>
      <c r="L17" s="82">
        <f>'Tab A - True-Up Allocation'!E40</f>
        <v>65946.407343399813</v>
      </c>
      <c r="M17" s="82"/>
      <c r="N17" s="82">
        <f>'Tab A - True-Up Allocation'!G40</f>
        <v>31181.721862592778</v>
      </c>
      <c r="O17" s="82"/>
      <c r="Q17" s="82"/>
      <c r="R17" s="82">
        <f t="shared" si="0"/>
        <v>97128.129205992591</v>
      </c>
    </row>
    <row r="18" spans="2:20" ht="14.5" x14ac:dyDescent="0.35">
      <c r="B18" s="39">
        <f t="shared" si="2"/>
        <v>9</v>
      </c>
      <c r="C18" s="6">
        <v>928</v>
      </c>
      <c r="D18" s="111" t="s">
        <v>177</v>
      </c>
      <c r="F18" s="82">
        <v>1661.214440550568</v>
      </c>
      <c r="H18" s="104">
        <f t="shared" si="1"/>
        <v>1.147118889101803E-3</v>
      </c>
      <c r="I18" s="82"/>
      <c r="J18" s="82">
        <f>H18*'Tab A - True-Up Allocation'!$G$34</f>
        <v>804.53965476320832</v>
      </c>
      <c r="K18" s="82"/>
      <c r="L18" s="82"/>
      <c r="M18" s="82"/>
      <c r="N18" s="82"/>
      <c r="O18" s="82"/>
      <c r="Q18" s="82"/>
      <c r="R18" s="82">
        <f t="shared" si="0"/>
        <v>2465.7540953137764</v>
      </c>
    </row>
    <row r="19" spans="2:20" ht="14.5" x14ac:dyDescent="0.35">
      <c r="B19" s="39">
        <f t="shared" si="2"/>
        <v>10</v>
      </c>
      <c r="C19" s="6">
        <v>929</v>
      </c>
      <c r="D19" t="s">
        <v>178</v>
      </c>
      <c r="F19" s="82">
        <v>0</v>
      </c>
      <c r="H19" s="104">
        <f t="shared" si="1"/>
        <v>0</v>
      </c>
      <c r="I19" s="82"/>
      <c r="J19" s="82">
        <f>H19*'Tab A - True-Up Allocation'!$G$34</f>
        <v>0</v>
      </c>
      <c r="K19" s="82"/>
      <c r="L19" s="82"/>
      <c r="M19" s="82"/>
      <c r="N19" s="82"/>
      <c r="O19" s="82"/>
      <c r="Q19" s="82"/>
      <c r="R19" s="82">
        <f t="shared" si="0"/>
        <v>0</v>
      </c>
    </row>
    <row r="20" spans="2:20" ht="14.5" x14ac:dyDescent="0.35">
      <c r="B20" s="39">
        <f t="shared" si="2"/>
        <v>11</v>
      </c>
      <c r="C20" s="6">
        <v>930.1</v>
      </c>
      <c r="D20" t="s">
        <v>179</v>
      </c>
      <c r="F20" s="82">
        <v>8018.5881180760252</v>
      </c>
      <c r="H20" s="104">
        <f t="shared" si="1"/>
        <v>5.5370779771958568E-3</v>
      </c>
      <c r="I20" s="82"/>
      <c r="J20" s="82">
        <f>H20*'Tab A - True-Up Allocation'!$G$34</f>
        <v>3883.4673951348127</v>
      </c>
      <c r="K20" s="82"/>
      <c r="L20" s="82"/>
      <c r="M20" s="82"/>
      <c r="N20" s="82"/>
      <c r="O20" s="82"/>
      <c r="Q20" s="82"/>
      <c r="R20" s="82">
        <f t="shared" si="0"/>
        <v>11902.055513210838</v>
      </c>
    </row>
    <row r="21" spans="2:20" ht="14.5" x14ac:dyDescent="0.35">
      <c r="B21" s="39">
        <f t="shared" si="2"/>
        <v>12</v>
      </c>
      <c r="C21" s="6">
        <v>930.2</v>
      </c>
      <c r="D21" t="s">
        <v>180</v>
      </c>
      <c r="F21" s="82">
        <v>7444.1050170039971</v>
      </c>
      <c r="H21" s="104">
        <f t="shared" si="1"/>
        <v>5.1403799949106231E-3</v>
      </c>
      <c r="I21" s="82"/>
      <c r="J21" s="82">
        <f>H21*'Tab A - True-Up Allocation'!$G$34</f>
        <v>3605.2405602834347</v>
      </c>
      <c r="K21" s="82"/>
      <c r="L21" s="82"/>
      <c r="M21" s="82"/>
      <c r="N21" s="82"/>
      <c r="O21" s="82"/>
      <c r="Q21" s="82"/>
      <c r="R21" s="82">
        <f t="shared" si="0"/>
        <v>11049.345577287431</v>
      </c>
    </row>
    <row r="22" spans="2:20" ht="14.5" x14ac:dyDescent="0.35">
      <c r="B22" s="39">
        <f t="shared" si="2"/>
        <v>13</v>
      </c>
      <c r="C22" s="6">
        <v>931</v>
      </c>
      <c r="D22" t="s">
        <v>181</v>
      </c>
      <c r="F22" s="82">
        <v>5478.1832495673061</v>
      </c>
      <c r="H22" s="104">
        <f t="shared" si="1"/>
        <v>3.7828514670610715E-3</v>
      </c>
      <c r="I22" s="82"/>
      <c r="J22" s="82">
        <f>H22*'Tab A - True-Up Allocation'!$G$34</f>
        <v>2653.1286706584033</v>
      </c>
      <c r="K22" s="82"/>
      <c r="L22" s="82"/>
      <c r="M22" s="82"/>
      <c r="N22" s="82"/>
      <c r="O22" s="82"/>
      <c r="Q22" s="82"/>
      <c r="R22" s="82">
        <f t="shared" si="0"/>
        <v>8131.3119202257094</v>
      </c>
    </row>
    <row r="23" spans="2:20" ht="14.5" x14ac:dyDescent="0.35">
      <c r="B23" s="39">
        <f t="shared" si="2"/>
        <v>14</v>
      </c>
      <c r="C23" s="6">
        <v>935</v>
      </c>
      <c r="D23" t="s">
        <v>182</v>
      </c>
      <c r="F23" s="83">
        <v>13678.374347431591</v>
      </c>
      <c r="H23" s="112">
        <f t="shared" si="1"/>
        <v>9.4453318025239583E-3</v>
      </c>
      <c r="I23" s="82"/>
      <c r="J23" s="83">
        <f>H23*'Tab A - True-Up Allocation'!$G$34</f>
        <v>6624.5478648483659</v>
      </c>
      <c r="K23" s="82"/>
      <c r="L23" s="83"/>
      <c r="M23" s="82"/>
      <c r="N23" s="83"/>
      <c r="O23" s="82"/>
      <c r="P23" s="114"/>
      <c r="Q23" s="82"/>
      <c r="R23" s="83">
        <f t="shared" si="0"/>
        <v>20302.922212279955</v>
      </c>
    </row>
    <row r="24" spans="2:20" ht="13" x14ac:dyDescent="0.3">
      <c r="B24" s="39">
        <v>15</v>
      </c>
      <c r="D24" s="84" t="s">
        <v>136</v>
      </c>
      <c r="F24" s="50">
        <f>SUM(F10:F23)</f>
        <v>1448162.397405297</v>
      </c>
      <c r="H24" s="103">
        <f>SUM(H10:H23)</f>
        <v>0.99999999999999978</v>
      </c>
      <c r="I24" s="82"/>
      <c r="J24" s="85">
        <f>SUM(J10:J23)</f>
        <v>701356.8187279742</v>
      </c>
      <c r="K24" s="82"/>
      <c r="L24" s="82">
        <f>SUM(L10:L23)</f>
        <v>65946.407343399813</v>
      </c>
      <c r="M24" s="82"/>
      <c r="N24" s="82">
        <f>SUM(N10:N23)</f>
        <v>31181.721862592778</v>
      </c>
      <c r="O24" s="82"/>
      <c r="P24" s="85">
        <f>SUM(P10:P23)</f>
        <v>-773954.45009108039</v>
      </c>
      <c r="Q24" s="82"/>
      <c r="R24" s="85">
        <f>SUM(R10:R23)</f>
        <v>1472692.8952481828</v>
      </c>
      <c r="S24" s="106">
        <f>R24-'Tab A - True-Up Allocation'!K34-'Tab A - True-Up Allocation'!K40</f>
        <v>-8.440110832452774E-10</v>
      </c>
      <c r="T24" s="107" t="s">
        <v>165</v>
      </c>
    </row>
    <row r="25" spans="2:20" ht="13" x14ac:dyDescent="0.3">
      <c r="B25" s="39"/>
    </row>
    <row r="26" spans="2:20" ht="13" x14ac:dyDescent="0.3">
      <c r="B26" s="75" t="s">
        <v>19</v>
      </c>
    </row>
    <row r="27" spans="2:20" x14ac:dyDescent="0.25">
      <c r="B27" s="86" t="s">
        <v>185</v>
      </c>
    </row>
    <row r="28" spans="2:20" x14ac:dyDescent="0.25">
      <c r="B28" s="86" t="s">
        <v>218</v>
      </c>
      <c r="C28" s="27"/>
      <c r="D28" s="27"/>
    </row>
    <row r="29" spans="2:20" x14ac:dyDescent="0.25">
      <c r="B29" s="86" t="s">
        <v>216</v>
      </c>
      <c r="C29" s="27"/>
      <c r="D29" s="27"/>
      <c r="F29" s="87"/>
    </row>
    <row r="30" spans="2:20" x14ac:dyDescent="0.25">
      <c r="B30" s="86"/>
    </row>
    <row r="33" spans="2:2" x14ac:dyDescent="0.25">
      <c r="B33" s="88"/>
    </row>
    <row r="34" spans="2:2" x14ac:dyDescent="0.25">
      <c r="B34" s="88"/>
    </row>
    <row r="35" spans="2:2" x14ac:dyDescent="0.25">
      <c r="B35" s="86"/>
    </row>
    <row r="36" spans="2:2" ht="13" x14ac:dyDescent="0.3">
      <c r="B36" s="80"/>
    </row>
    <row r="37" spans="2:2" x14ac:dyDescent="0.25">
      <c r="B37" s="86"/>
    </row>
    <row r="38" spans="2:2" x14ac:dyDescent="0.25">
      <c r="B38" s="89"/>
    </row>
  </sheetData>
  <pageMargins left="0.7" right="0.7" top="0.75" bottom="0.75" header="0.3" footer="0.3"/>
  <pageSetup scale="37" orientation="portrait" r:id="rId1"/>
  <headerFooter>
    <oddHeader>&amp;RTO2026 Annual Update 
Attachment 4
WP- Schedule 35 Other Formula Revenue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97BD-A449-46BE-97F9-88D15C21F022}">
  <dimension ref="A1:N15"/>
  <sheetViews>
    <sheetView showWhiteSpace="0" zoomScaleNormal="100" zoomScalePageLayoutView="90" workbookViewId="0"/>
  </sheetViews>
  <sheetFormatPr defaultColWidth="9.1796875" defaultRowHeight="12.5" x14ac:dyDescent="0.25"/>
  <cols>
    <col min="1" max="1" width="16.1796875" style="23" customWidth="1"/>
    <col min="2" max="2" width="3.1796875" style="23" customWidth="1"/>
    <col min="3" max="3" width="14.1796875" style="23" customWidth="1"/>
    <col min="4" max="4" width="3.1796875" style="23" customWidth="1"/>
    <col min="5" max="5" width="13.54296875" style="23" bestFit="1" customWidth="1"/>
    <col min="6" max="6" width="3.1796875" style="23" customWidth="1"/>
    <col min="7" max="7" width="12.54296875" style="23" customWidth="1"/>
    <col min="8" max="8" width="3.1796875" style="23" customWidth="1"/>
    <col min="9" max="9" width="17.81640625" style="23" customWidth="1"/>
    <col min="10" max="10" width="3.1796875" style="23" customWidth="1"/>
    <col min="11" max="11" width="14.26953125" style="23" bestFit="1" customWidth="1"/>
    <col min="12" max="12" width="9.1796875" style="23"/>
    <col min="13" max="13" width="11.81640625" style="23" bestFit="1" customWidth="1"/>
    <col min="14" max="16384" width="9.1796875" style="23"/>
  </cols>
  <sheetData>
    <row r="1" spans="1:14" ht="13" x14ac:dyDescent="0.3">
      <c r="A1" s="22" t="s">
        <v>192</v>
      </c>
    </row>
    <row r="2" spans="1:14" ht="13" x14ac:dyDescent="0.3">
      <c r="A2" s="22"/>
    </row>
    <row r="3" spans="1:14" ht="13" x14ac:dyDescent="0.3">
      <c r="A3" s="22"/>
      <c r="E3" s="39" t="s">
        <v>123</v>
      </c>
      <c r="F3" s="28"/>
      <c r="G3" s="39" t="s">
        <v>124</v>
      </c>
      <c r="H3" s="28"/>
      <c r="I3" s="39" t="s">
        <v>125</v>
      </c>
      <c r="J3" s="28"/>
      <c r="K3" s="39" t="s">
        <v>126</v>
      </c>
    </row>
    <row r="4" spans="1:14" ht="13" x14ac:dyDescent="0.3">
      <c r="A4" s="22"/>
      <c r="E4" s="39" t="s">
        <v>21</v>
      </c>
      <c r="G4" s="39" t="s">
        <v>22</v>
      </c>
      <c r="I4" s="39" t="s">
        <v>23</v>
      </c>
      <c r="K4" s="45" t="s">
        <v>228</v>
      </c>
    </row>
    <row r="5" spans="1:14" ht="13" x14ac:dyDescent="0.3">
      <c r="A5" s="22"/>
      <c r="E5" s="39"/>
      <c r="G5" s="39"/>
      <c r="I5" s="39"/>
    </row>
    <row r="6" spans="1:14" ht="13" x14ac:dyDescent="0.3">
      <c r="A6" s="22"/>
      <c r="I6" s="78" t="s">
        <v>190</v>
      </c>
    </row>
    <row r="7" spans="1:14" ht="26" x14ac:dyDescent="0.3">
      <c r="E7" s="79" t="s">
        <v>129</v>
      </c>
      <c r="G7" s="79" t="s">
        <v>227</v>
      </c>
      <c r="I7" s="78" t="s">
        <v>188</v>
      </c>
      <c r="K7" s="79" t="s">
        <v>131</v>
      </c>
    </row>
    <row r="8" spans="1:14" ht="13" x14ac:dyDescent="0.3">
      <c r="A8" s="90" t="s">
        <v>2</v>
      </c>
      <c r="C8" s="90" t="s">
        <v>137</v>
      </c>
      <c r="E8" s="43" t="s">
        <v>192</v>
      </c>
      <c r="G8" s="43" t="s">
        <v>135</v>
      </c>
      <c r="I8" s="10" t="s">
        <v>189</v>
      </c>
      <c r="K8" s="43" t="s">
        <v>192</v>
      </c>
    </row>
    <row r="9" spans="1:14" ht="14.5" x14ac:dyDescent="0.35">
      <c r="A9" s="22">
        <v>1</v>
      </c>
      <c r="C9" s="56" t="s">
        <v>192</v>
      </c>
      <c r="E9" s="18">
        <f>'Tab A - True-Up Allocation'!E15</f>
        <v>3680929.5798455086</v>
      </c>
      <c r="G9" s="120">
        <f>'Tab A - True-Up Allocation'!G37</f>
        <v>-4319070.4201544914</v>
      </c>
      <c r="I9" s="17">
        <v>3680929.5798455086</v>
      </c>
      <c r="K9" s="92">
        <f>E9+G9+I9</f>
        <v>3042788.7395365257</v>
      </c>
      <c r="M9" s="121"/>
      <c r="N9" s="109"/>
    </row>
    <row r="12" spans="1:14" ht="13" x14ac:dyDescent="0.3">
      <c r="B12" s="75" t="s">
        <v>19</v>
      </c>
    </row>
    <row r="13" spans="1:14" x14ac:dyDescent="0.25">
      <c r="B13" s="56" t="s">
        <v>20</v>
      </c>
      <c r="C13" s="47" t="s">
        <v>193</v>
      </c>
    </row>
    <row r="14" spans="1:14" x14ac:dyDescent="0.25">
      <c r="B14" s="56" t="s">
        <v>25</v>
      </c>
      <c r="C14" s="23" t="s">
        <v>195</v>
      </c>
    </row>
    <row r="15" spans="1:14" x14ac:dyDescent="0.25">
      <c r="B15" s="56" t="s">
        <v>27</v>
      </c>
      <c r="C15" s="23" t="s">
        <v>194</v>
      </c>
    </row>
  </sheetData>
  <pageMargins left="0.7" right="0.7" top="0.75" bottom="0.75" header="0.3" footer="0.3"/>
  <pageSetup scale="43" orientation="portrait" r:id="rId1"/>
  <headerFooter>
    <oddHeader>&amp;RTO2026 Annual Update 
Attachment 4
WP- Schedule 35 Other Formula Revenue
Page &amp;P of &amp;N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10457-6D3A-4779-A55B-75C373CE54CD}">
  <dimension ref="A1:Q21"/>
  <sheetViews>
    <sheetView zoomScaleNormal="100" workbookViewId="0"/>
  </sheetViews>
  <sheetFormatPr defaultColWidth="9.1796875" defaultRowHeight="12.5" x14ac:dyDescent="0.25"/>
  <cols>
    <col min="1" max="1" width="16.1796875" style="23" bestFit="1" customWidth="1"/>
    <col min="2" max="2" width="3.1796875" style="23" customWidth="1"/>
    <col min="3" max="3" width="52.54296875" style="23" bestFit="1" customWidth="1"/>
    <col min="4" max="4" width="58.453125" style="23" customWidth="1"/>
    <col min="5" max="5" width="24" style="23" bestFit="1" customWidth="1"/>
    <col min="6" max="6" width="2.7265625" style="23" customWidth="1"/>
    <col min="7" max="7" width="19.26953125" style="23" bestFit="1" customWidth="1"/>
    <col min="8" max="8" width="4.1796875" style="23" customWidth="1"/>
    <col min="9" max="9" width="29.81640625" style="23" bestFit="1" customWidth="1"/>
    <col min="10" max="10" width="2.1796875" style="23" customWidth="1"/>
    <col min="11" max="11" width="24.7265625" style="23" bestFit="1" customWidth="1"/>
    <col min="12" max="12" width="2.1796875" style="23" customWidth="1"/>
    <col min="13" max="13" width="21.453125" style="23" bestFit="1" customWidth="1"/>
    <col min="14" max="14" width="2.1796875" style="23" customWidth="1"/>
    <col min="15" max="15" width="14.26953125" style="23" bestFit="1" customWidth="1"/>
    <col min="16" max="16384" width="9.1796875" style="23"/>
  </cols>
  <sheetData>
    <row r="1" spans="1:17" ht="13" x14ac:dyDescent="0.3">
      <c r="A1" s="22" t="s">
        <v>8</v>
      </c>
    </row>
    <row r="2" spans="1:17" ht="13" x14ac:dyDescent="0.3">
      <c r="E2" s="25" t="s">
        <v>123</v>
      </c>
      <c r="F2" s="25"/>
      <c r="G2" s="25" t="s">
        <v>124</v>
      </c>
      <c r="H2" s="25"/>
      <c r="I2" s="25" t="s">
        <v>125</v>
      </c>
      <c r="J2" s="25"/>
      <c r="K2" s="25" t="s">
        <v>126</v>
      </c>
      <c r="L2" s="25"/>
      <c r="M2" s="25" t="s">
        <v>138</v>
      </c>
      <c r="N2" s="25"/>
      <c r="O2" s="25" t="s">
        <v>205</v>
      </c>
    </row>
    <row r="3" spans="1:17" ht="13" x14ac:dyDescent="0.3">
      <c r="E3" s="25"/>
      <c r="F3" s="25"/>
      <c r="G3" s="76" t="s">
        <v>139</v>
      </c>
      <c r="H3" s="76"/>
      <c r="I3" s="76" t="s">
        <v>140</v>
      </c>
      <c r="J3" s="25"/>
      <c r="K3" s="76" t="s">
        <v>206</v>
      </c>
      <c r="L3" s="25"/>
      <c r="M3" s="76" t="s">
        <v>141</v>
      </c>
      <c r="N3" s="76"/>
      <c r="O3" s="76" t="s">
        <v>207</v>
      </c>
    </row>
    <row r="5" spans="1:17" ht="13" x14ac:dyDescent="0.3">
      <c r="G5" s="25" t="s">
        <v>128</v>
      </c>
      <c r="I5" s="25" t="s">
        <v>142</v>
      </c>
      <c r="K5" s="78" t="s">
        <v>155</v>
      </c>
      <c r="M5" s="25" t="s">
        <v>143</v>
      </c>
      <c r="O5" s="25" t="s">
        <v>131</v>
      </c>
    </row>
    <row r="6" spans="1:17" ht="13" x14ac:dyDescent="0.3">
      <c r="A6" s="90" t="s">
        <v>2</v>
      </c>
      <c r="C6" s="10" t="s">
        <v>137</v>
      </c>
      <c r="D6" s="10" t="s">
        <v>144</v>
      </c>
      <c r="E6" s="10" t="s">
        <v>145</v>
      </c>
      <c r="G6" s="93" t="s">
        <v>129</v>
      </c>
      <c r="I6" s="93" t="s">
        <v>146</v>
      </c>
      <c r="K6" s="93" t="s">
        <v>135</v>
      </c>
      <c r="M6" s="93" t="s">
        <v>147</v>
      </c>
      <c r="O6" s="93" t="s">
        <v>8</v>
      </c>
    </row>
    <row r="7" spans="1:17" ht="14.5" x14ac:dyDescent="0.35">
      <c r="A7" s="22">
        <v>1</v>
      </c>
      <c r="C7" s="23" t="s">
        <v>96</v>
      </c>
      <c r="D7" s="56" t="s">
        <v>197</v>
      </c>
      <c r="E7" s="94">
        <v>129729289.01000001</v>
      </c>
      <c r="G7" s="47">
        <f>ROUND(E7*$E$21,2)</f>
        <v>76609.95</v>
      </c>
      <c r="I7" s="95">
        <f>G7/SUM($G$7:$G$13)</f>
        <v>0.94546475281405862</v>
      </c>
      <c r="K7" s="113">
        <f>I7*'Tab A - True-Up Allocation'!$G$36</f>
        <v>-6557.528767322171</v>
      </c>
      <c r="M7" s="47">
        <f>I7*$G$16</f>
        <v>38304.972306615338</v>
      </c>
      <c r="O7" s="47">
        <f>G7+K7-M7</f>
        <v>31747.448926062483</v>
      </c>
    </row>
    <row r="8" spans="1:17" ht="14.5" x14ac:dyDescent="0.35">
      <c r="A8" s="22">
        <v>2</v>
      </c>
      <c r="C8" s="23" t="s">
        <v>97</v>
      </c>
      <c r="D8" s="56" t="s">
        <v>198</v>
      </c>
      <c r="E8" s="94">
        <v>427390.07</v>
      </c>
      <c r="G8" s="47">
        <f t="shared" ref="G8:G13" si="0">ROUND(E8*$E$21,2)</f>
        <v>252.39</v>
      </c>
      <c r="I8" s="95">
        <f t="shared" ref="I8:I14" si="1">G8/SUM($G$7:$G$13)</f>
        <v>3.1148153596594211E-3</v>
      </c>
      <c r="K8" s="113">
        <f>I8*'Tab A - True-Up Allocation'!$G$36</f>
        <v>-21.603651817870173</v>
      </c>
      <c r="M8" s="47">
        <f>I8*$G$16</f>
        <v>126.19499112669628</v>
      </c>
      <c r="O8" s="47">
        <f t="shared" ref="O8:O13" si="2">G8+K8-M8</f>
        <v>104.59135705543353</v>
      </c>
    </row>
    <row r="9" spans="1:17" ht="14.5" x14ac:dyDescent="0.35">
      <c r="A9" s="22">
        <v>3</v>
      </c>
      <c r="C9" s="23" t="s">
        <v>98</v>
      </c>
      <c r="D9" s="56" t="s">
        <v>199</v>
      </c>
      <c r="E9" s="94">
        <v>100210.2</v>
      </c>
      <c r="G9" s="47">
        <f t="shared" si="0"/>
        <v>59.18</v>
      </c>
      <c r="I9" s="95">
        <f t="shared" si="1"/>
        <v>7.3035688016420837E-4</v>
      </c>
      <c r="K9" s="113">
        <f>I9*'Tab A - True-Up Allocation'!$G$36</f>
        <v>-5.0655894234381584</v>
      </c>
      <c r="M9" s="47">
        <f t="shared" ref="M9:M14" si="3">I9*$G$16</f>
        <v>29.589997919402059</v>
      </c>
      <c r="O9" s="47">
        <f t="shared" si="2"/>
        <v>24.524412657159779</v>
      </c>
    </row>
    <row r="10" spans="1:17" ht="14.5" x14ac:dyDescent="0.35">
      <c r="A10" s="22">
        <v>4</v>
      </c>
      <c r="C10" s="23" t="s">
        <v>99</v>
      </c>
      <c r="D10" s="56" t="s">
        <v>200</v>
      </c>
      <c r="E10" s="94">
        <v>3370028.17</v>
      </c>
      <c r="G10" s="47">
        <f t="shared" si="0"/>
        <v>1990.13</v>
      </c>
      <c r="I10" s="95">
        <f t="shared" si="1"/>
        <v>2.4560749204481175E-2</v>
      </c>
      <c r="K10" s="113">
        <f>I10*'Tab A - True-Up Allocation'!$G$36</f>
        <v>-170.34777761519064</v>
      </c>
      <c r="M10" s="47">
        <f t="shared" si="3"/>
        <v>995.0649300327749</v>
      </c>
      <c r="O10" s="47">
        <f t="shared" si="2"/>
        <v>824.71729235203463</v>
      </c>
    </row>
    <row r="11" spans="1:17" ht="14.5" x14ac:dyDescent="0.35">
      <c r="A11" s="22">
        <v>5</v>
      </c>
      <c r="C11" s="23" t="s">
        <v>100</v>
      </c>
      <c r="D11" s="56" t="s">
        <v>201</v>
      </c>
      <c r="E11" s="94">
        <v>893513.6</v>
      </c>
      <c r="G11" s="47">
        <f t="shared" si="0"/>
        <v>527.65</v>
      </c>
      <c r="I11" s="95">
        <f t="shared" si="1"/>
        <v>6.5118757657763524E-3</v>
      </c>
      <c r="K11" s="113">
        <f>I11*'Tab A - True-Up Allocation'!$G$36</f>
        <v>-45.16489116723799</v>
      </c>
      <c r="M11" s="47">
        <f>I11*$G$16</f>
        <v>263.82498144934937</v>
      </c>
      <c r="O11" s="47">
        <f>G11+K11-M11</f>
        <v>218.6601273834126</v>
      </c>
    </row>
    <row r="12" spans="1:17" ht="14.5" x14ac:dyDescent="0.35">
      <c r="A12" s="22">
        <v>6</v>
      </c>
      <c r="C12" s="23" t="s">
        <v>101</v>
      </c>
      <c r="D12" s="56" t="s">
        <v>202</v>
      </c>
      <c r="E12" s="94">
        <v>2668166.4900000002</v>
      </c>
      <c r="G12" s="47">
        <f t="shared" si="0"/>
        <v>1575.65</v>
      </c>
      <c r="I12" s="95">
        <f t="shared" si="1"/>
        <v>1.9445535961992819E-2</v>
      </c>
      <c r="K12" s="113">
        <f>I12*'Tab A - True-Up Allocation'!$G$36</f>
        <v>-134.86982046367581</v>
      </c>
      <c r="M12" s="47">
        <f t="shared" si="3"/>
        <v>787.82494460469513</v>
      </c>
      <c r="O12" s="47">
        <f t="shared" si="2"/>
        <v>652.95523493162921</v>
      </c>
    </row>
    <row r="13" spans="1:17" ht="14.5" x14ac:dyDescent="0.35">
      <c r="A13" s="22">
        <v>7</v>
      </c>
      <c r="C13" s="23" t="s">
        <v>102</v>
      </c>
      <c r="D13" s="56" t="s">
        <v>203</v>
      </c>
      <c r="E13" s="96">
        <v>23590.67</v>
      </c>
      <c r="G13" s="97">
        <f t="shared" si="0"/>
        <v>13.93</v>
      </c>
      <c r="I13" s="98">
        <f t="shared" si="1"/>
        <v>1.7191401386764822E-4</v>
      </c>
      <c r="K13" s="116">
        <f>I13*'Tab A - True-Up Allocation'!$G$36</f>
        <v>-1.1923565506673461</v>
      </c>
      <c r="M13" s="97">
        <f t="shared" si="3"/>
        <v>6.9649995102614168</v>
      </c>
      <c r="O13" s="97">
        <f t="shared" si="2"/>
        <v>5.7726439390712363</v>
      </c>
    </row>
    <row r="14" spans="1:17" ht="14.5" x14ac:dyDescent="0.35">
      <c r="A14" s="22">
        <v>8</v>
      </c>
      <c r="C14" s="56" t="s">
        <v>148</v>
      </c>
      <c r="D14" s="56" t="s">
        <v>149</v>
      </c>
      <c r="E14" s="99">
        <f>SUM(E7:E13)</f>
        <v>137212188.21000001</v>
      </c>
      <c r="G14" s="47">
        <f>SUM(G7:G13)</f>
        <v>81028.879999999976</v>
      </c>
      <c r="I14" s="95">
        <f t="shared" si="1"/>
        <v>1</v>
      </c>
      <c r="K14" s="115">
        <f>SUM(K7:K13)</f>
        <v>-6935.7728543602507</v>
      </c>
      <c r="M14" s="47">
        <f t="shared" si="3"/>
        <v>40514.437151258506</v>
      </c>
      <c r="O14" s="47">
        <f>SUM(O7:O13)</f>
        <v>33578.66999438122</v>
      </c>
      <c r="P14" s="117"/>
      <c r="Q14" s="109"/>
    </row>
    <row r="15" spans="1:17" ht="6" customHeight="1" x14ac:dyDescent="0.35">
      <c r="A15" s="22"/>
      <c r="C15" s="56"/>
      <c r="D15" s="56"/>
      <c r="E15" s="99"/>
      <c r="G15" s="47"/>
      <c r="I15" s="95"/>
      <c r="M15" s="100"/>
      <c r="O15" s="100"/>
    </row>
    <row r="16" spans="1:17" ht="14.5" x14ac:dyDescent="0.35">
      <c r="A16" s="22">
        <v>9</v>
      </c>
      <c r="C16" s="56" t="s">
        <v>150</v>
      </c>
      <c r="D16" s="56" t="s">
        <v>204</v>
      </c>
      <c r="E16" s="91">
        <v>68606094.105000004</v>
      </c>
      <c r="G16" s="47">
        <f>E16*E21</f>
        <v>40514.437151258506</v>
      </c>
    </row>
    <row r="17" spans="1:7" ht="4.5" customHeight="1" x14ac:dyDescent="0.35">
      <c r="A17" s="22"/>
      <c r="D17" s="56"/>
      <c r="E17" s="99"/>
      <c r="G17" s="47"/>
    </row>
    <row r="18" spans="1:7" ht="14.5" x14ac:dyDescent="0.35">
      <c r="A18" s="22">
        <v>10</v>
      </c>
      <c r="C18" s="56" t="s">
        <v>151</v>
      </c>
      <c r="D18" s="56" t="s">
        <v>152</v>
      </c>
      <c r="E18" s="99">
        <f>E14-E16</f>
        <v>68606094.105000004</v>
      </c>
      <c r="G18" s="47">
        <f>E18*E21</f>
        <v>40514.437151258506</v>
      </c>
    </row>
    <row r="19" spans="1:7" x14ac:dyDescent="0.25">
      <c r="D19" s="56"/>
    </row>
    <row r="20" spans="1:7" x14ac:dyDescent="0.25">
      <c r="D20" s="56"/>
    </row>
    <row r="21" spans="1:7" ht="14.5" x14ac:dyDescent="0.35">
      <c r="A21" s="22">
        <v>11</v>
      </c>
      <c r="C21" s="56" t="s">
        <v>153</v>
      </c>
      <c r="D21" s="56" t="s">
        <v>196</v>
      </c>
      <c r="E21" s="101">
        <v>5.9053700228513402E-4</v>
      </c>
    </row>
  </sheetData>
  <pageMargins left="0.7" right="0.7" top="0.75" bottom="0.75" header="0.3" footer="0.3"/>
  <pageSetup scale="32" orientation="portrait" r:id="rId1"/>
  <headerFooter>
    <oddHeader>&amp;RTO2026 Annual Update 
Attachment 4
WP- Schedule 35 Other Formula Revenue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Sch. 35 Workpaper</vt:lpstr>
      <vt:lpstr>Tab A - True-Up Allocation</vt:lpstr>
      <vt:lpstr>Tab B - Allocated O&amp;M</vt:lpstr>
      <vt:lpstr>Tab C - A&amp;G</vt:lpstr>
      <vt:lpstr>Tab D - Property Tax</vt:lpstr>
      <vt:lpstr>Tab E - Payroll Taxes</vt:lpstr>
      <vt:lpstr>'Sch. 35 Workpaper'!Print_Area</vt:lpstr>
      <vt:lpstr>'Tab B - Allocated O&amp;M'!Print_Area</vt:lpstr>
      <vt:lpstr>'Tab C - A&amp;G'!Print_Area</vt:lpstr>
      <vt:lpstr>'Tab D - Property Tax'!Print_Area</vt:lpstr>
      <vt:lpstr>'Tab E - Payroll Taxes'!Print_Area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Katelyn Wright</dc:creator>
  <cp:lastModifiedBy>Jee Kim</cp:lastModifiedBy>
  <cp:lastPrinted>2025-10-11T00:33:43Z</cp:lastPrinted>
  <dcterms:created xsi:type="dcterms:W3CDTF">2025-03-26T17:57:15Z</dcterms:created>
  <dcterms:modified xsi:type="dcterms:W3CDTF">2025-10-11T00:34:26Z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2025-03-26T18:52:23Z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579c4f53-d513-466f-9913-33c18c0d4d26</vt:lpwstr>
  </property>
  <property fmtid="{D5CDD505-2E9C-101B-9397-08002B2CF9AE}" pid="8" name="MSIP_Label_bc3dd1c7-2c40-4a31-84b2-bec599b321a0_ContentBits">
    <vt:lpwstr>0</vt:lpwstr>
  </property>
  <property fmtid="{D5CDD505-2E9C-101B-9397-08002B2CF9AE}" pid="9" name="MSIP_Label_bc3dd1c7-2c40-4a31-84b2-bec599b321a0_Tag">
    <vt:lpwstr>10, 3, 0, 1</vt:lpwstr>
  </property>
</Properties>
</file>